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gion0\RIO\Public\Grants\2020\2020 INFRA\3. Final Submission\Final Submital\"/>
    </mc:Choice>
  </mc:AlternateContent>
  <xr:revisionPtr revIDLastSave="0" documentId="8_{C9349A75-F9A8-4B37-AED2-2B66CB206306}" xr6:coauthVersionLast="47" xr6:coauthVersionMax="47" xr10:uidLastSave="{00000000-0000-0000-0000-000000000000}"/>
  <bookViews>
    <workbookView xWindow="24" yWindow="1440" windowWidth="23016" windowHeight="11520" firstSheet="1" xr2:uid="{00000000-000D-0000-FFFF-FFFF00000000}"/>
  </bookViews>
  <sheets>
    <sheet name="Benefit Cost Ratio" sheetId="18" r:id="rId1"/>
    <sheet name="Capital Costs" sheetId="19" r:id="rId2"/>
    <sheet name="M and O" sheetId="31" r:id="rId3"/>
    <sheet name="Travel Time Savings" sheetId="14" r:id="rId4"/>
    <sheet name="Safety" sheetId="25" r:id="rId5"/>
    <sheet name="Emissions" sheetId="27" r:id="rId6"/>
    <sheet name="Operating Costs" sheetId="24" r:id="rId7"/>
    <sheet name="Unit Costs" sheetId="26" r:id="rId8"/>
    <sheet name="Emissions Rates" sheetId="29" r:id="rId9"/>
    <sheet name="misc" sheetId="30" r:id="rId10"/>
  </sheets>
  <definedNames>
    <definedName name="A" localSheetId="5">Emissions!#REF!</definedName>
    <definedName name="A">#REF!</definedName>
    <definedName name="BCA" localSheetId="5">#REF!</definedName>
    <definedName name="BCA" localSheetId="6">#REF!</definedName>
    <definedName name="BCA" localSheetId="4">#REF!</definedName>
    <definedName name="BCA">#REF!</definedName>
    <definedName name="Livabilty" localSheetId="5">#REF!</definedName>
    <definedName name="Livabilty" localSheetId="6">#REF!</definedName>
    <definedName name="Livabilty" localSheetId="4">#REF!</definedName>
    <definedName name="Livabilty">#REF!</definedName>
    <definedName name="Print" localSheetId="5">#REF!</definedName>
    <definedName name="Print" localSheetId="6">#REF!</definedName>
    <definedName name="Print" localSheetId="4">#REF!</definedName>
    <definedName name="Print">#REF!</definedName>
    <definedName name="_xlnm.Print_Area" localSheetId="1">'Capital Costs'!$H$1:$L$10</definedName>
    <definedName name="_xlnm.Print_Area" localSheetId="3">'Travel Time Savings'!$A$1:$P$38</definedName>
    <definedName name="Print1" localSheetId="5">#REF!</definedName>
    <definedName name="Print1" localSheetId="6">#REF!</definedName>
    <definedName name="Print1" localSheetId="4">#REF!</definedName>
    <definedName name="Print1">#REF!</definedName>
    <definedName name="Print2" localSheetId="5">#REF!</definedName>
    <definedName name="Print2" localSheetId="6">#REF!</definedName>
    <definedName name="Print2" localSheetId="4">#REF!</definedName>
    <definedName name="Print2">#REF!</definedName>
    <definedName name="Repair" localSheetId="5">#REF!</definedName>
    <definedName name="Repair" localSheetId="6">#REF!</definedName>
    <definedName name="Repair" localSheetId="4">#REF!</definedName>
    <definedName name="Repair">#REF!</definedName>
    <definedName name="User" localSheetId="5">#REF!</definedName>
    <definedName name="User" localSheetId="6">#REF!</definedName>
    <definedName name="User" localSheetId="4">#REF!</definedName>
    <definedName name="Us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9" l="1"/>
  <c r="I79" i="19" s="1"/>
  <c r="H295" i="31" l="1"/>
  <c r="H304" i="31"/>
  <c r="H243" i="31"/>
  <c r="H197" i="31"/>
  <c r="H188" i="31"/>
  <c r="H146" i="31"/>
  <c r="H137" i="31"/>
  <c r="H93" i="31"/>
  <c r="H41" i="31"/>
  <c r="H32" i="31"/>
  <c r="E277" i="31" l="1"/>
  <c r="E278" i="31" s="1"/>
  <c r="E279" i="31" s="1"/>
  <c r="I252" i="31"/>
  <c r="I251" i="31"/>
  <c r="I250" i="31"/>
  <c r="I249" i="31"/>
  <c r="I248" i="31"/>
  <c r="I247" i="31"/>
  <c r="I246" i="31"/>
  <c r="I245" i="31"/>
  <c r="I244" i="31"/>
  <c r="I243" i="31"/>
  <c r="I242" i="31"/>
  <c r="I241" i="31"/>
  <c r="I240" i="31"/>
  <c r="I239" i="31"/>
  <c r="I238" i="31"/>
  <c r="I237" i="31"/>
  <c r="I236" i="31"/>
  <c r="I235" i="31"/>
  <c r="I234" i="31"/>
  <c r="I233" i="31"/>
  <c r="I232" i="31"/>
  <c r="I231" i="31"/>
  <c r="I230" i="31"/>
  <c r="I229" i="31"/>
  <c r="P214" i="24" l="1"/>
  <c r="P211" i="24"/>
  <c r="P210" i="24"/>
  <c r="P191" i="24"/>
  <c r="P190" i="24"/>
  <c r="R211" i="14"/>
  <c r="R199" i="14"/>
  <c r="G283" i="27"/>
  <c r="F283" i="27"/>
  <c r="G282" i="27"/>
  <c r="F282" i="27"/>
  <c r="G281" i="27"/>
  <c r="F281" i="27"/>
  <c r="J281" i="27" s="1"/>
  <c r="N281" i="27" s="1"/>
  <c r="Y281" i="27" s="1"/>
  <c r="G280" i="27"/>
  <c r="F280" i="27"/>
  <c r="G279" i="27"/>
  <c r="F279" i="27"/>
  <c r="G278" i="27"/>
  <c r="F278" i="27"/>
  <c r="K278" i="27" s="1"/>
  <c r="O278" i="27" s="1"/>
  <c r="Z278" i="27" s="1"/>
  <c r="G277" i="27"/>
  <c r="F277" i="27"/>
  <c r="G276" i="27"/>
  <c r="F276" i="27"/>
  <c r="J276" i="27" s="1"/>
  <c r="N276" i="27" s="1"/>
  <c r="G275" i="27"/>
  <c r="F275" i="27"/>
  <c r="G274" i="27"/>
  <c r="F274" i="27"/>
  <c r="I274" i="27" s="1"/>
  <c r="M274" i="27" s="1"/>
  <c r="X274" i="27" s="1"/>
  <c r="G273" i="27"/>
  <c r="F273" i="27"/>
  <c r="G272" i="27"/>
  <c r="F272" i="27"/>
  <c r="P272" i="27" s="1"/>
  <c r="G271" i="27"/>
  <c r="F271" i="27"/>
  <c r="G270" i="27"/>
  <c r="F270" i="27"/>
  <c r="G269" i="27"/>
  <c r="H269" i="27" s="1"/>
  <c r="L269" i="27" s="1"/>
  <c r="F269" i="27"/>
  <c r="G268" i="27"/>
  <c r="F268" i="27"/>
  <c r="P268" i="27" s="1"/>
  <c r="G267" i="27"/>
  <c r="F267" i="27"/>
  <c r="G266" i="27"/>
  <c r="F266" i="27"/>
  <c r="G265" i="27"/>
  <c r="F265" i="27"/>
  <c r="G264" i="27"/>
  <c r="F264" i="27"/>
  <c r="P264" i="27" s="1"/>
  <c r="G263" i="27"/>
  <c r="F263" i="27"/>
  <c r="G262" i="27"/>
  <c r="F262" i="27"/>
  <c r="J262" i="27" s="1"/>
  <c r="N262" i="27" s="1"/>
  <c r="Y262" i="27" s="1"/>
  <c r="G261" i="27"/>
  <c r="F261" i="27"/>
  <c r="G260" i="27"/>
  <c r="F260" i="27"/>
  <c r="J260" i="27" s="1"/>
  <c r="N260" i="27" s="1"/>
  <c r="Y260" i="27" s="1"/>
  <c r="G259" i="27"/>
  <c r="F259" i="27"/>
  <c r="G258" i="27"/>
  <c r="F258" i="27"/>
  <c r="G257" i="27"/>
  <c r="F257" i="27"/>
  <c r="G256" i="27"/>
  <c r="F256" i="27"/>
  <c r="J256" i="27" s="1"/>
  <c r="N256" i="27" s="1"/>
  <c r="Y256" i="27" s="1"/>
  <c r="G255" i="27"/>
  <c r="F255" i="27"/>
  <c r="I255" i="27" s="1"/>
  <c r="M255" i="27" s="1"/>
  <c r="X255" i="27" s="1"/>
  <c r="G254" i="27"/>
  <c r="F254" i="27"/>
  <c r="H254" i="27" s="1"/>
  <c r="L254" i="27" s="1"/>
  <c r="W254" i="27" s="1"/>
  <c r="H253" i="27"/>
  <c r="L253" i="27" s="1"/>
  <c r="W253" i="27" s="1"/>
  <c r="G253" i="27"/>
  <c r="F253" i="27"/>
  <c r="B253" i="27"/>
  <c r="B254" i="27" s="1"/>
  <c r="B255" i="27" s="1"/>
  <c r="B256" i="27" s="1"/>
  <c r="B257" i="27" s="1"/>
  <c r="B258" i="27" s="1"/>
  <c r="B259" i="27" s="1"/>
  <c r="B260" i="27" s="1"/>
  <c r="B261" i="27" s="1"/>
  <c r="B262" i="27" s="1"/>
  <c r="B263" i="27" s="1"/>
  <c r="B264" i="27" s="1"/>
  <c r="B265" i="27" s="1"/>
  <c r="B266" i="27" s="1"/>
  <c r="B267" i="27" s="1"/>
  <c r="B268" i="27" s="1"/>
  <c r="B269" i="27" s="1"/>
  <c r="B270" i="27" s="1"/>
  <c r="B271" i="27" s="1"/>
  <c r="B272" i="27" s="1"/>
  <c r="B273" i="27" s="1"/>
  <c r="B274" i="27" s="1"/>
  <c r="B275" i="27" s="1"/>
  <c r="B276" i="27" s="1"/>
  <c r="B277" i="27" s="1"/>
  <c r="B278" i="27" s="1"/>
  <c r="B279" i="27" s="1"/>
  <c r="B280" i="27" s="1"/>
  <c r="B281" i="27" s="1"/>
  <c r="B282" i="27" s="1"/>
  <c r="B283" i="27" s="1"/>
  <c r="A253" i="27"/>
  <c r="A254" i="27" s="1"/>
  <c r="A255" i="27" s="1"/>
  <c r="A256" i="27" s="1"/>
  <c r="A257" i="27" s="1"/>
  <c r="A258" i="27" s="1"/>
  <c r="A259" i="27" s="1"/>
  <c r="A260" i="27" s="1"/>
  <c r="A261" i="27" s="1"/>
  <c r="A262" i="27" s="1"/>
  <c r="A263" i="27" s="1"/>
  <c r="A264" i="27" s="1"/>
  <c r="A265" i="27" s="1"/>
  <c r="A266" i="27" s="1"/>
  <c r="A267" i="27" s="1"/>
  <c r="A268" i="27" s="1"/>
  <c r="A269" i="27" s="1"/>
  <c r="A270" i="27" s="1"/>
  <c r="A271" i="27" s="1"/>
  <c r="A272" i="27" s="1"/>
  <c r="A273" i="27" s="1"/>
  <c r="A274" i="27" s="1"/>
  <c r="A275" i="27" s="1"/>
  <c r="A276" i="27" s="1"/>
  <c r="A277" i="27" s="1"/>
  <c r="A278" i="27" s="1"/>
  <c r="A279" i="27" s="1"/>
  <c r="A280" i="27" s="1"/>
  <c r="A281" i="27" s="1"/>
  <c r="A282" i="27" s="1"/>
  <c r="A283" i="27" s="1"/>
  <c r="G252" i="27"/>
  <c r="F252" i="27"/>
  <c r="I252" i="27" s="1"/>
  <c r="M252" i="27" s="1"/>
  <c r="X252" i="27" s="1"/>
  <c r="I220" i="24"/>
  <c r="K220" i="24" s="1"/>
  <c r="L220" i="24" s="1"/>
  <c r="P220" i="24" s="1"/>
  <c r="D220" i="24"/>
  <c r="F220" i="24" s="1"/>
  <c r="G220" i="24" s="1"/>
  <c r="I219" i="24"/>
  <c r="K219" i="24" s="1"/>
  <c r="L219" i="24" s="1"/>
  <c r="P219" i="24" s="1"/>
  <c r="F219" i="24"/>
  <c r="G219" i="24" s="1"/>
  <c r="D219" i="24"/>
  <c r="A219" i="24"/>
  <c r="A220" i="24" s="1"/>
  <c r="I218" i="24"/>
  <c r="K218" i="24" s="1"/>
  <c r="L218" i="24" s="1"/>
  <c r="P218" i="24" s="1"/>
  <c r="D218" i="24"/>
  <c r="F218" i="24" s="1"/>
  <c r="G218" i="24" s="1"/>
  <c r="K217" i="24"/>
  <c r="L217" i="24" s="1"/>
  <c r="P217" i="24" s="1"/>
  <c r="I217" i="24"/>
  <c r="D217" i="24"/>
  <c r="F217" i="24" s="1"/>
  <c r="G217" i="24" s="1"/>
  <c r="M217" i="24" s="1"/>
  <c r="N217" i="24" s="1"/>
  <c r="L216" i="24"/>
  <c r="P216" i="24" s="1"/>
  <c r="I216" i="24"/>
  <c r="K216" i="24" s="1"/>
  <c r="D216" i="24"/>
  <c r="F216" i="24" s="1"/>
  <c r="G216" i="24" s="1"/>
  <c r="M216" i="24" s="1"/>
  <c r="N216" i="24" s="1"/>
  <c r="I215" i="24"/>
  <c r="K215" i="24" s="1"/>
  <c r="L215" i="24" s="1"/>
  <c r="M215" i="24" s="1"/>
  <c r="N215" i="24" s="1"/>
  <c r="G215" i="24"/>
  <c r="D215" i="24"/>
  <c r="F215" i="24" s="1"/>
  <c r="K214" i="24"/>
  <c r="L214" i="24" s="1"/>
  <c r="I214" i="24"/>
  <c r="D214" i="24"/>
  <c r="F214" i="24" s="1"/>
  <c r="G214" i="24" s="1"/>
  <c r="K213" i="24"/>
  <c r="L213" i="24" s="1"/>
  <c r="P213" i="24" s="1"/>
  <c r="I213" i="24"/>
  <c r="D213" i="24"/>
  <c r="F213" i="24" s="1"/>
  <c r="G213" i="24" s="1"/>
  <c r="I212" i="24"/>
  <c r="K212" i="24" s="1"/>
  <c r="L212" i="24" s="1"/>
  <c r="P212" i="24" s="1"/>
  <c r="D212" i="24"/>
  <c r="F212" i="24" s="1"/>
  <c r="G212" i="24" s="1"/>
  <c r="I211" i="24"/>
  <c r="K211" i="24" s="1"/>
  <c r="L211" i="24" s="1"/>
  <c r="D211" i="24"/>
  <c r="F211" i="24" s="1"/>
  <c r="G211" i="24" s="1"/>
  <c r="I210" i="24"/>
  <c r="K210" i="24" s="1"/>
  <c r="L210" i="24" s="1"/>
  <c r="D210" i="24"/>
  <c r="F210" i="24" s="1"/>
  <c r="G210" i="24" s="1"/>
  <c r="K209" i="24"/>
  <c r="L209" i="24" s="1"/>
  <c r="P209" i="24" s="1"/>
  <c r="I209" i="24"/>
  <c r="D209" i="24"/>
  <c r="F209" i="24" s="1"/>
  <c r="G209" i="24" s="1"/>
  <c r="I208" i="24"/>
  <c r="K208" i="24" s="1"/>
  <c r="L208" i="24" s="1"/>
  <c r="P208" i="24" s="1"/>
  <c r="F208" i="24"/>
  <c r="G208" i="24" s="1"/>
  <c r="D208" i="24"/>
  <c r="I207" i="24"/>
  <c r="K207" i="24" s="1"/>
  <c r="L207" i="24" s="1"/>
  <c r="G207" i="24"/>
  <c r="D207" i="24"/>
  <c r="F207" i="24" s="1"/>
  <c r="I206" i="24"/>
  <c r="K206" i="24" s="1"/>
  <c r="L206" i="24" s="1"/>
  <c r="P206" i="24" s="1"/>
  <c r="D206" i="24"/>
  <c r="F206" i="24" s="1"/>
  <c r="G206" i="24" s="1"/>
  <c r="I205" i="24"/>
  <c r="K205" i="24" s="1"/>
  <c r="L205" i="24" s="1"/>
  <c r="P205" i="24" s="1"/>
  <c r="F205" i="24"/>
  <c r="G205" i="24" s="1"/>
  <c r="D205" i="24"/>
  <c r="I204" i="24"/>
  <c r="K204" i="24" s="1"/>
  <c r="L204" i="24" s="1"/>
  <c r="P204" i="24" s="1"/>
  <c r="F204" i="24"/>
  <c r="G204" i="24" s="1"/>
  <c r="D204" i="24"/>
  <c r="I203" i="24"/>
  <c r="K203" i="24" s="1"/>
  <c r="L203" i="24" s="1"/>
  <c r="P203" i="24" s="1"/>
  <c r="D203" i="24"/>
  <c r="F203" i="24" s="1"/>
  <c r="G203" i="24" s="1"/>
  <c r="I202" i="24"/>
  <c r="K202" i="24" s="1"/>
  <c r="L202" i="24" s="1"/>
  <c r="P202" i="24" s="1"/>
  <c r="D202" i="24"/>
  <c r="F202" i="24" s="1"/>
  <c r="G202" i="24" s="1"/>
  <c r="I201" i="24"/>
  <c r="K201" i="24" s="1"/>
  <c r="L201" i="24" s="1"/>
  <c r="P201" i="24" s="1"/>
  <c r="G201" i="24"/>
  <c r="F201" i="24"/>
  <c r="D201" i="24"/>
  <c r="I200" i="24"/>
  <c r="K200" i="24" s="1"/>
  <c r="L200" i="24" s="1"/>
  <c r="P200" i="24" s="1"/>
  <c r="D200" i="24"/>
  <c r="F200" i="24" s="1"/>
  <c r="G200" i="24" s="1"/>
  <c r="M200" i="24" s="1"/>
  <c r="N200" i="24" s="1"/>
  <c r="I199" i="24"/>
  <c r="K199" i="24" s="1"/>
  <c r="L199" i="24" s="1"/>
  <c r="P199" i="24" s="1"/>
  <c r="D199" i="24"/>
  <c r="F199" i="24" s="1"/>
  <c r="G199" i="24" s="1"/>
  <c r="I198" i="24"/>
  <c r="K198" i="24" s="1"/>
  <c r="L198" i="24" s="1"/>
  <c r="P198" i="24" s="1"/>
  <c r="D198" i="24"/>
  <c r="F198" i="24" s="1"/>
  <c r="G198" i="24" s="1"/>
  <c r="K197" i="24"/>
  <c r="L197" i="24" s="1"/>
  <c r="P197" i="24" s="1"/>
  <c r="I197" i="24"/>
  <c r="D197" i="24"/>
  <c r="F197" i="24" s="1"/>
  <c r="G197" i="24" s="1"/>
  <c r="M197" i="24" s="1"/>
  <c r="N197" i="24" s="1"/>
  <c r="I196" i="24"/>
  <c r="K196" i="24" s="1"/>
  <c r="L196" i="24" s="1"/>
  <c r="P196" i="24" s="1"/>
  <c r="D196" i="24"/>
  <c r="F196" i="24" s="1"/>
  <c r="G196" i="24" s="1"/>
  <c r="M196" i="24" s="1"/>
  <c r="N196" i="24" s="1"/>
  <c r="I195" i="24"/>
  <c r="K195" i="24" s="1"/>
  <c r="L195" i="24" s="1"/>
  <c r="P195" i="24" s="1"/>
  <c r="G195" i="24"/>
  <c r="D195" i="24"/>
  <c r="F195" i="24" s="1"/>
  <c r="K194" i="24"/>
  <c r="L194" i="24" s="1"/>
  <c r="P194" i="24" s="1"/>
  <c r="I194" i="24"/>
  <c r="D194" i="24"/>
  <c r="F194" i="24" s="1"/>
  <c r="G194" i="24" s="1"/>
  <c r="I193" i="24"/>
  <c r="K193" i="24" s="1"/>
  <c r="L193" i="24" s="1"/>
  <c r="P193" i="24" s="1"/>
  <c r="D193" i="24"/>
  <c r="F193" i="24" s="1"/>
  <c r="G193" i="24" s="1"/>
  <c r="I192" i="24"/>
  <c r="K192" i="24" s="1"/>
  <c r="L192" i="24" s="1"/>
  <c r="P192" i="24" s="1"/>
  <c r="F192" i="24"/>
  <c r="G192" i="24" s="1"/>
  <c r="M192" i="24" s="1"/>
  <c r="N192" i="24" s="1"/>
  <c r="D192" i="24"/>
  <c r="I191" i="24"/>
  <c r="K191" i="24" s="1"/>
  <c r="L191" i="24" s="1"/>
  <c r="G191" i="24"/>
  <c r="D191" i="24"/>
  <c r="F191" i="24" s="1"/>
  <c r="I190" i="24"/>
  <c r="K190" i="24" s="1"/>
  <c r="L190" i="24" s="1"/>
  <c r="F190" i="24"/>
  <c r="G190" i="24" s="1"/>
  <c r="D190" i="24"/>
  <c r="B190" i="24"/>
  <c r="B191" i="24" s="1"/>
  <c r="B192" i="24" s="1"/>
  <c r="B193" i="24" s="1"/>
  <c r="B194" i="24" s="1"/>
  <c r="B195" i="24" s="1"/>
  <c r="B196" i="24" s="1"/>
  <c r="B197" i="24" s="1"/>
  <c r="B198" i="24" s="1"/>
  <c r="B199" i="24" s="1"/>
  <c r="B200" i="24" s="1"/>
  <c r="B201" i="24" s="1"/>
  <c r="B202" i="24" s="1"/>
  <c r="B203" i="24" s="1"/>
  <c r="B204" i="24" s="1"/>
  <c r="B205" i="24" s="1"/>
  <c r="B206" i="24" s="1"/>
  <c r="B207" i="24" s="1"/>
  <c r="B208" i="24" s="1"/>
  <c r="B209" i="24" s="1"/>
  <c r="B210" i="24" s="1"/>
  <c r="B211" i="24" s="1"/>
  <c r="B212" i="24" s="1"/>
  <c r="B213" i="24" s="1"/>
  <c r="B214" i="24" s="1"/>
  <c r="B215" i="24" s="1"/>
  <c r="B216" i="24" s="1"/>
  <c r="B217" i="24" s="1"/>
  <c r="B218" i="24" s="1"/>
  <c r="B219" i="24" s="1"/>
  <c r="B220" i="24" s="1"/>
  <c r="K189" i="24"/>
  <c r="L189" i="24" s="1"/>
  <c r="P189" i="24" s="1"/>
  <c r="I189" i="24"/>
  <c r="D189" i="24"/>
  <c r="F189" i="24" s="1"/>
  <c r="G189" i="24" s="1"/>
  <c r="M189" i="24" s="1"/>
  <c r="N189" i="24" s="1"/>
  <c r="D220" i="25"/>
  <c r="F220" i="25" s="1"/>
  <c r="F219" i="25"/>
  <c r="I219" i="25" s="1"/>
  <c r="D219" i="25"/>
  <c r="A219" i="25"/>
  <c r="A220" i="25" s="1"/>
  <c r="D218" i="25"/>
  <c r="F218" i="25" s="1"/>
  <c r="F217" i="25"/>
  <c r="I217" i="25" s="1"/>
  <c r="O217" i="25" s="1"/>
  <c r="D217" i="25"/>
  <c r="D216" i="25"/>
  <c r="F216" i="25" s="1"/>
  <c r="D215" i="25"/>
  <c r="F215" i="25" s="1"/>
  <c r="D214" i="25"/>
  <c r="F214" i="25" s="1"/>
  <c r="F213" i="25"/>
  <c r="I213" i="25" s="1"/>
  <c r="O213" i="25" s="1"/>
  <c r="D213" i="25"/>
  <c r="D212" i="25"/>
  <c r="F212" i="25" s="1"/>
  <c r="D211" i="25"/>
  <c r="F211" i="25" s="1"/>
  <c r="D210" i="25"/>
  <c r="F210" i="25" s="1"/>
  <c r="F209" i="25"/>
  <c r="I209" i="25" s="1"/>
  <c r="O209" i="25" s="1"/>
  <c r="D209" i="25"/>
  <c r="D208" i="25"/>
  <c r="F208" i="25" s="1"/>
  <c r="D207" i="25"/>
  <c r="F207" i="25" s="1"/>
  <c r="D206" i="25"/>
  <c r="F206" i="25" s="1"/>
  <c r="F205" i="25"/>
  <c r="I205" i="25" s="1"/>
  <c r="O205" i="25" s="1"/>
  <c r="D205" i="25"/>
  <c r="D204" i="25"/>
  <c r="F204" i="25" s="1"/>
  <c r="D203" i="25"/>
  <c r="F203" i="25" s="1"/>
  <c r="D202" i="25"/>
  <c r="F202" i="25" s="1"/>
  <c r="F201" i="25"/>
  <c r="I201" i="25" s="1"/>
  <c r="O201" i="25" s="1"/>
  <c r="D201" i="25"/>
  <c r="D200" i="25"/>
  <c r="F200" i="25" s="1"/>
  <c r="D199" i="25"/>
  <c r="F199" i="25" s="1"/>
  <c r="D198" i="25"/>
  <c r="F198" i="25" s="1"/>
  <c r="F197" i="25"/>
  <c r="I197" i="25" s="1"/>
  <c r="O197" i="25" s="1"/>
  <c r="D197" i="25"/>
  <c r="D196" i="25"/>
  <c r="F196" i="25" s="1"/>
  <c r="D195" i="25"/>
  <c r="F195" i="25" s="1"/>
  <c r="D194" i="25"/>
  <c r="F194" i="25" s="1"/>
  <c r="F193" i="25"/>
  <c r="I193" i="25" s="1"/>
  <c r="O193" i="25" s="1"/>
  <c r="D193" i="25"/>
  <c r="D192" i="25"/>
  <c r="F192" i="25" s="1"/>
  <c r="D191" i="25"/>
  <c r="F191" i="25" s="1"/>
  <c r="D190" i="25"/>
  <c r="F190" i="25" s="1"/>
  <c r="B190" i="25"/>
  <c r="B191" i="25" s="1"/>
  <c r="B192" i="25" s="1"/>
  <c r="B193" i="25" s="1"/>
  <c r="B194" i="25" s="1"/>
  <c r="B195" i="25" s="1"/>
  <c r="B196" i="25" s="1"/>
  <c r="B197" i="25" s="1"/>
  <c r="B198" i="25" s="1"/>
  <c r="B199" i="25" s="1"/>
  <c r="B200" i="25" s="1"/>
  <c r="B201" i="25" s="1"/>
  <c r="B202" i="25" s="1"/>
  <c r="B203" i="25" s="1"/>
  <c r="B204" i="25" s="1"/>
  <c r="B205" i="25" s="1"/>
  <c r="B206" i="25" s="1"/>
  <c r="B207" i="25" s="1"/>
  <c r="B208" i="25" s="1"/>
  <c r="B209" i="25" s="1"/>
  <c r="B210" i="25" s="1"/>
  <c r="B211" i="25" s="1"/>
  <c r="B212" i="25" s="1"/>
  <c r="B213" i="25" s="1"/>
  <c r="B214" i="25" s="1"/>
  <c r="B215" i="25" s="1"/>
  <c r="B216" i="25" s="1"/>
  <c r="B217" i="25" s="1"/>
  <c r="B218" i="25" s="1"/>
  <c r="B219" i="25" s="1"/>
  <c r="B220" i="25" s="1"/>
  <c r="G189" i="25"/>
  <c r="M189" i="25" s="1"/>
  <c r="F189" i="25"/>
  <c r="I189" i="25" s="1"/>
  <c r="O189" i="25" s="1"/>
  <c r="D189" i="25"/>
  <c r="J224" i="14"/>
  <c r="N224" i="14" s="1"/>
  <c r="R224" i="14" s="1"/>
  <c r="G224" i="14"/>
  <c r="D224" i="14"/>
  <c r="J223" i="14"/>
  <c r="N223" i="14" s="1"/>
  <c r="R223" i="14" s="1"/>
  <c r="G223" i="14"/>
  <c r="D223" i="14"/>
  <c r="H223" i="14" s="1"/>
  <c r="A223" i="14"/>
  <c r="A224" i="14" s="1"/>
  <c r="J222" i="14"/>
  <c r="N222" i="14" s="1"/>
  <c r="R222" i="14" s="1"/>
  <c r="H222" i="14"/>
  <c r="O222" i="14" s="1"/>
  <c r="P222" i="14" s="1"/>
  <c r="G222" i="14"/>
  <c r="D222" i="14"/>
  <c r="J221" i="14"/>
  <c r="N221" i="14" s="1"/>
  <c r="R221" i="14" s="1"/>
  <c r="G221" i="14"/>
  <c r="D221" i="14"/>
  <c r="H221" i="14" s="1"/>
  <c r="O221" i="14" s="1"/>
  <c r="P221" i="14" s="1"/>
  <c r="N220" i="14"/>
  <c r="R220" i="14" s="1"/>
  <c r="J220" i="14"/>
  <c r="G220" i="14"/>
  <c r="D220" i="14"/>
  <c r="H220" i="14" s="1"/>
  <c r="O220" i="14" s="1"/>
  <c r="P220" i="14" s="1"/>
  <c r="N219" i="14"/>
  <c r="R219" i="14" s="1"/>
  <c r="J219" i="14"/>
  <c r="G219" i="14"/>
  <c r="D219" i="14"/>
  <c r="H219" i="14" s="1"/>
  <c r="O219" i="14" s="1"/>
  <c r="P219" i="14" s="1"/>
  <c r="J218" i="14"/>
  <c r="N218" i="14" s="1"/>
  <c r="R218" i="14" s="1"/>
  <c r="H218" i="14"/>
  <c r="G218" i="14"/>
  <c r="D218" i="14"/>
  <c r="J217" i="14"/>
  <c r="N217" i="14" s="1"/>
  <c r="R217" i="14" s="1"/>
  <c r="H217" i="14"/>
  <c r="G217" i="14"/>
  <c r="D217" i="14"/>
  <c r="N216" i="14"/>
  <c r="R216" i="14" s="1"/>
  <c r="J216" i="14"/>
  <c r="G216" i="14"/>
  <c r="D216" i="14"/>
  <c r="H216" i="14" s="1"/>
  <c r="O216" i="14" s="1"/>
  <c r="P216" i="14" s="1"/>
  <c r="J215" i="14"/>
  <c r="N215" i="14" s="1"/>
  <c r="R215" i="14" s="1"/>
  <c r="G215" i="14"/>
  <c r="D215" i="14"/>
  <c r="H215" i="14" s="1"/>
  <c r="O215" i="14" s="1"/>
  <c r="P215" i="14" s="1"/>
  <c r="J214" i="14"/>
  <c r="N214" i="14" s="1"/>
  <c r="R214" i="14" s="1"/>
  <c r="H214" i="14"/>
  <c r="G214" i="14"/>
  <c r="D214" i="14"/>
  <c r="J213" i="14"/>
  <c r="N213" i="14" s="1"/>
  <c r="R213" i="14" s="1"/>
  <c r="G213" i="14"/>
  <c r="D213" i="14"/>
  <c r="H213" i="14" s="1"/>
  <c r="O213" i="14" s="1"/>
  <c r="P213" i="14" s="1"/>
  <c r="J212" i="14"/>
  <c r="N212" i="14" s="1"/>
  <c r="R212" i="14" s="1"/>
  <c r="G212" i="14"/>
  <c r="D212" i="14"/>
  <c r="H212" i="14" s="1"/>
  <c r="O212" i="14" s="1"/>
  <c r="P212" i="14" s="1"/>
  <c r="N211" i="14"/>
  <c r="J211" i="14"/>
  <c r="G211" i="14"/>
  <c r="H211" i="14" s="1"/>
  <c r="O211" i="14" s="1"/>
  <c r="P211" i="14" s="1"/>
  <c r="D211" i="14"/>
  <c r="J210" i="14"/>
  <c r="N210" i="14" s="1"/>
  <c r="R210" i="14" s="1"/>
  <c r="G210" i="14"/>
  <c r="H210" i="14" s="1"/>
  <c r="D210" i="14"/>
  <c r="J209" i="14"/>
  <c r="N209" i="14" s="1"/>
  <c r="R209" i="14" s="1"/>
  <c r="G209" i="14"/>
  <c r="D209" i="14"/>
  <c r="H209" i="14" s="1"/>
  <c r="N208" i="14"/>
  <c r="R208" i="14" s="1"/>
  <c r="J208" i="14"/>
  <c r="G208" i="14"/>
  <c r="D208" i="14"/>
  <c r="H208" i="14" s="1"/>
  <c r="O208" i="14" s="1"/>
  <c r="P208" i="14" s="1"/>
  <c r="N207" i="14"/>
  <c r="R207" i="14" s="1"/>
  <c r="J207" i="14"/>
  <c r="G207" i="14"/>
  <c r="D207" i="14"/>
  <c r="H207" i="14" s="1"/>
  <c r="O207" i="14" s="1"/>
  <c r="P207" i="14" s="1"/>
  <c r="J206" i="14"/>
  <c r="N206" i="14" s="1"/>
  <c r="R206" i="14" s="1"/>
  <c r="H206" i="14"/>
  <c r="G206" i="14"/>
  <c r="D206" i="14"/>
  <c r="J205" i="14"/>
  <c r="N205" i="14" s="1"/>
  <c r="R205" i="14" s="1"/>
  <c r="H205" i="14"/>
  <c r="G205" i="14"/>
  <c r="D205" i="14"/>
  <c r="N204" i="14"/>
  <c r="R204" i="14" s="1"/>
  <c r="J204" i="14"/>
  <c r="G204" i="14"/>
  <c r="D204" i="14"/>
  <c r="H204" i="14" s="1"/>
  <c r="O204" i="14" s="1"/>
  <c r="P204" i="14" s="1"/>
  <c r="J203" i="14"/>
  <c r="N203" i="14" s="1"/>
  <c r="R203" i="14" s="1"/>
  <c r="G203" i="14"/>
  <c r="D203" i="14"/>
  <c r="H203" i="14" s="1"/>
  <c r="O203" i="14" s="1"/>
  <c r="P203" i="14" s="1"/>
  <c r="J202" i="14"/>
  <c r="N202" i="14" s="1"/>
  <c r="R202" i="14" s="1"/>
  <c r="H202" i="14"/>
  <c r="G202" i="14"/>
  <c r="D202" i="14"/>
  <c r="J201" i="14"/>
  <c r="N201" i="14" s="1"/>
  <c r="R201" i="14" s="1"/>
  <c r="G201" i="14"/>
  <c r="D201" i="14"/>
  <c r="H201" i="14" s="1"/>
  <c r="J200" i="14"/>
  <c r="N200" i="14" s="1"/>
  <c r="R200" i="14" s="1"/>
  <c r="G200" i="14"/>
  <c r="D200" i="14"/>
  <c r="H200" i="14" s="1"/>
  <c r="N199" i="14"/>
  <c r="J199" i="14"/>
  <c r="G199" i="14"/>
  <c r="H199" i="14" s="1"/>
  <c r="O199" i="14" s="1"/>
  <c r="P199" i="14" s="1"/>
  <c r="D199" i="14"/>
  <c r="J198" i="14"/>
  <c r="N198" i="14" s="1"/>
  <c r="R198" i="14" s="1"/>
  <c r="G198" i="14"/>
  <c r="H198" i="14" s="1"/>
  <c r="O198" i="14" s="1"/>
  <c r="P198" i="14" s="1"/>
  <c r="D198" i="14"/>
  <c r="J197" i="14"/>
  <c r="N197" i="14" s="1"/>
  <c r="R197" i="14" s="1"/>
  <c r="G197" i="14"/>
  <c r="D197" i="14"/>
  <c r="H197" i="14" s="1"/>
  <c r="O197" i="14" s="1"/>
  <c r="P197" i="14" s="1"/>
  <c r="N196" i="14"/>
  <c r="R196" i="14" s="1"/>
  <c r="J196" i="14"/>
  <c r="G196" i="14"/>
  <c r="D196" i="14"/>
  <c r="H196" i="14" s="1"/>
  <c r="O196" i="14" s="1"/>
  <c r="P196" i="14" s="1"/>
  <c r="N195" i="14"/>
  <c r="R195" i="14" s="1"/>
  <c r="J195" i="14"/>
  <c r="G195" i="14"/>
  <c r="D195" i="14"/>
  <c r="H195" i="14" s="1"/>
  <c r="O195" i="14" s="1"/>
  <c r="P195" i="14" s="1"/>
  <c r="J194" i="14"/>
  <c r="N194" i="14" s="1"/>
  <c r="R194" i="14" s="1"/>
  <c r="H194" i="14"/>
  <c r="G194" i="14"/>
  <c r="D194" i="14"/>
  <c r="B194" i="14"/>
  <c r="B195" i="14" s="1"/>
  <c r="B196" i="14" s="1"/>
  <c r="B197" i="14" s="1"/>
  <c r="B198" i="14" s="1"/>
  <c r="B199" i="14" s="1"/>
  <c r="B200" i="14" s="1"/>
  <c r="B201" i="14" s="1"/>
  <c r="B202" i="14" s="1"/>
  <c r="B203" i="14" s="1"/>
  <c r="B204" i="14" s="1"/>
  <c r="B205" i="14" s="1"/>
  <c r="B206" i="14" s="1"/>
  <c r="B207" i="14" s="1"/>
  <c r="B208" i="14" s="1"/>
  <c r="B209" i="14" s="1"/>
  <c r="B210" i="14" s="1"/>
  <c r="B211" i="14" s="1"/>
  <c r="B212" i="14" s="1"/>
  <c r="B213" i="14" s="1"/>
  <c r="B214" i="14" s="1"/>
  <c r="B215" i="14" s="1"/>
  <c r="B216" i="14" s="1"/>
  <c r="B217" i="14" s="1"/>
  <c r="B218" i="14" s="1"/>
  <c r="B219" i="14" s="1"/>
  <c r="B220" i="14" s="1"/>
  <c r="B221" i="14" s="1"/>
  <c r="B222" i="14" s="1"/>
  <c r="B223" i="14" s="1"/>
  <c r="B224" i="14" s="1"/>
  <c r="J193" i="14"/>
  <c r="N193" i="14" s="1"/>
  <c r="R193" i="14" s="1"/>
  <c r="G193" i="14"/>
  <c r="D193" i="14"/>
  <c r="H193" i="14" s="1"/>
  <c r="O193" i="14" s="1"/>
  <c r="P193" i="14" s="1"/>
  <c r="J304" i="31"/>
  <c r="F304" i="31"/>
  <c r="J303" i="31"/>
  <c r="F303" i="31"/>
  <c r="J302" i="31"/>
  <c r="F302" i="31"/>
  <c r="J301" i="31"/>
  <c r="F301" i="31"/>
  <c r="J300" i="31"/>
  <c r="F300" i="31"/>
  <c r="J299" i="31"/>
  <c r="F299" i="31"/>
  <c r="J298" i="31"/>
  <c r="F298" i="31"/>
  <c r="J297" i="31"/>
  <c r="F297" i="31"/>
  <c r="J296" i="31"/>
  <c r="F296" i="31"/>
  <c r="J295" i="31"/>
  <c r="F295" i="31"/>
  <c r="J294" i="31"/>
  <c r="F294" i="31"/>
  <c r="J293" i="31"/>
  <c r="F293" i="31"/>
  <c r="P292" i="31"/>
  <c r="J292" i="31"/>
  <c r="F292" i="31"/>
  <c r="J291" i="31"/>
  <c r="F291" i="31"/>
  <c r="J290" i="31"/>
  <c r="F290" i="31"/>
  <c r="J289" i="31"/>
  <c r="F289" i="31"/>
  <c r="J288" i="31"/>
  <c r="F288" i="31"/>
  <c r="P287" i="31"/>
  <c r="P293" i="31" s="1"/>
  <c r="J287" i="31"/>
  <c r="F287" i="31"/>
  <c r="J286" i="31"/>
  <c r="F286" i="31"/>
  <c r="J285" i="31"/>
  <c r="F285" i="31"/>
  <c r="J284" i="31"/>
  <c r="F284" i="31"/>
  <c r="J283" i="31"/>
  <c r="F283" i="31"/>
  <c r="J282" i="31"/>
  <c r="F282" i="31"/>
  <c r="J281" i="31"/>
  <c r="F281" i="31"/>
  <c r="J280" i="31"/>
  <c r="F280" i="31"/>
  <c r="J279" i="31"/>
  <c r="J278" i="31"/>
  <c r="J277" i="31"/>
  <c r="J276" i="31"/>
  <c r="F276" i="31"/>
  <c r="C276" i="31"/>
  <c r="C277" i="31" s="1"/>
  <c r="J275" i="31"/>
  <c r="K275" i="31" s="1"/>
  <c r="D275" i="31"/>
  <c r="F275" i="31" s="1"/>
  <c r="G275" i="31" s="1"/>
  <c r="J274" i="31"/>
  <c r="K274" i="31" s="1"/>
  <c r="F274" i="31"/>
  <c r="G274" i="31" s="1"/>
  <c r="K273" i="31"/>
  <c r="J273" i="31"/>
  <c r="F273" i="31"/>
  <c r="G273" i="31" s="1"/>
  <c r="N79" i="19"/>
  <c r="N75" i="19" s="1"/>
  <c r="O75" i="19" s="1"/>
  <c r="O49" i="19"/>
  <c r="M45" i="19"/>
  <c r="M46" i="19" s="1"/>
  <c r="M47" i="19" s="1"/>
  <c r="M48" i="19" s="1"/>
  <c r="M49" i="19" s="1"/>
  <c r="M50" i="19" s="1"/>
  <c r="M51" i="19" s="1"/>
  <c r="M52" i="19" s="1"/>
  <c r="M53" i="19" s="1"/>
  <c r="M54" i="19" s="1"/>
  <c r="M55" i="19" s="1"/>
  <c r="M56" i="19" s="1"/>
  <c r="M57" i="19" s="1"/>
  <c r="M58" i="19" s="1"/>
  <c r="M59" i="19" s="1"/>
  <c r="M60" i="19" s="1"/>
  <c r="M61" i="19" s="1"/>
  <c r="M62" i="19" s="1"/>
  <c r="M63" i="19" s="1"/>
  <c r="M64" i="19" s="1"/>
  <c r="M65" i="19" s="1"/>
  <c r="M66" i="19" s="1"/>
  <c r="M67" i="19" s="1"/>
  <c r="M68" i="19" s="1"/>
  <c r="M69" i="19" s="1"/>
  <c r="M70" i="19" s="1"/>
  <c r="M71" i="19" s="1"/>
  <c r="M72" i="19" s="1"/>
  <c r="I208" i="25" l="1"/>
  <c r="O208" i="25" s="1"/>
  <c r="G208" i="25"/>
  <c r="M208" i="25" s="1"/>
  <c r="O209" i="14"/>
  <c r="P209" i="14" s="1"/>
  <c r="I199" i="25"/>
  <c r="O199" i="25" s="1"/>
  <c r="G199" i="25"/>
  <c r="M199" i="25" s="1"/>
  <c r="I218" i="25"/>
  <c r="O218" i="25" s="1"/>
  <c r="G218" i="25"/>
  <c r="M218" i="25" s="1"/>
  <c r="R225" i="14"/>
  <c r="O200" i="14"/>
  <c r="P200" i="14" s="1"/>
  <c r="I192" i="25"/>
  <c r="O192" i="25" s="1"/>
  <c r="G192" i="25"/>
  <c r="M192" i="25" s="1"/>
  <c r="M221" i="25" s="1"/>
  <c r="I211" i="25"/>
  <c r="O211" i="25" s="1"/>
  <c r="G211" i="25"/>
  <c r="M211" i="25" s="1"/>
  <c r="I216" i="25"/>
  <c r="O216" i="25" s="1"/>
  <c r="G216" i="25"/>
  <c r="M216" i="25" s="1"/>
  <c r="I198" i="25"/>
  <c r="O198" i="25" s="1"/>
  <c r="G198" i="25"/>
  <c r="M198" i="25" s="1"/>
  <c r="I200" i="25"/>
  <c r="O200" i="25" s="1"/>
  <c r="G200" i="25"/>
  <c r="M200" i="25" s="1"/>
  <c r="I191" i="25"/>
  <c r="O191" i="25" s="1"/>
  <c r="O221" i="25" s="1"/>
  <c r="G191" i="25"/>
  <c r="M191" i="25" s="1"/>
  <c r="O210" i="14"/>
  <c r="P210" i="14" s="1"/>
  <c r="I202" i="25"/>
  <c r="O202" i="25" s="1"/>
  <c r="G202" i="25"/>
  <c r="M202" i="25" s="1"/>
  <c r="I212" i="25"/>
  <c r="O212" i="25" s="1"/>
  <c r="G212" i="25"/>
  <c r="M212" i="25" s="1"/>
  <c r="I206" i="25"/>
  <c r="O206" i="25" s="1"/>
  <c r="G206" i="25"/>
  <c r="M206" i="25" s="1"/>
  <c r="I190" i="25"/>
  <c r="O190" i="25" s="1"/>
  <c r="G190" i="25"/>
  <c r="M190" i="25" s="1"/>
  <c r="I210" i="25"/>
  <c r="O210" i="25" s="1"/>
  <c r="G210" i="25"/>
  <c r="M210" i="25" s="1"/>
  <c r="I203" i="25"/>
  <c r="O203" i="25" s="1"/>
  <c r="G203" i="25"/>
  <c r="M203" i="25" s="1"/>
  <c r="I207" i="25"/>
  <c r="O207" i="25" s="1"/>
  <c r="G207" i="25"/>
  <c r="M207" i="25" s="1"/>
  <c r="O201" i="14"/>
  <c r="P201" i="14" s="1"/>
  <c r="P225" i="14" s="1"/>
  <c r="I194" i="25"/>
  <c r="O194" i="25" s="1"/>
  <c r="G194" i="25"/>
  <c r="M194" i="25" s="1"/>
  <c r="I204" i="25"/>
  <c r="O204" i="25" s="1"/>
  <c r="G204" i="25"/>
  <c r="M204" i="25" s="1"/>
  <c r="I195" i="25"/>
  <c r="O195" i="25" s="1"/>
  <c r="G195" i="25"/>
  <c r="M195" i="25" s="1"/>
  <c r="I214" i="25"/>
  <c r="O214" i="25" s="1"/>
  <c r="G214" i="25"/>
  <c r="M214" i="25" s="1"/>
  <c r="P221" i="24"/>
  <c r="I196" i="25"/>
  <c r="O196" i="25" s="1"/>
  <c r="G196" i="25"/>
  <c r="M196" i="25" s="1"/>
  <c r="I215" i="25"/>
  <c r="O215" i="25" s="1"/>
  <c r="G215" i="25"/>
  <c r="M215" i="25" s="1"/>
  <c r="M213" i="24"/>
  <c r="N213" i="24" s="1"/>
  <c r="O205" i="14"/>
  <c r="P205" i="14" s="1"/>
  <c r="O217" i="14"/>
  <c r="P217" i="14" s="1"/>
  <c r="O223" i="14"/>
  <c r="P223" i="14" s="1"/>
  <c r="M209" i="24"/>
  <c r="N209" i="24" s="1"/>
  <c r="K266" i="27"/>
  <c r="O266" i="27" s="1"/>
  <c r="Z266" i="27" s="1"/>
  <c r="J283" i="27"/>
  <c r="N283" i="27" s="1"/>
  <c r="Y283" i="27" s="1"/>
  <c r="M203" i="24"/>
  <c r="N203" i="24" s="1"/>
  <c r="M206" i="24"/>
  <c r="N206" i="24" s="1"/>
  <c r="G205" i="25"/>
  <c r="M205" i="25" s="1"/>
  <c r="O194" i="14"/>
  <c r="P194" i="14" s="1"/>
  <c r="P215" i="24"/>
  <c r="P291" i="31"/>
  <c r="H224" i="14"/>
  <c r="O224" i="14" s="1"/>
  <c r="P224" i="14" s="1"/>
  <c r="M194" i="24"/>
  <c r="N194" i="24" s="1"/>
  <c r="M214" i="24"/>
  <c r="N214" i="24" s="1"/>
  <c r="K257" i="27"/>
  <c r="O257" i="27" s="1"/>
  <c r="Z257" i="27" s="1"/>
  <c r="H268" i="27"/>
  <c r="L268" i="27" s="1"/>
  <c r="W268" i="27" s="1"/>
  <c r="G193" i="25"/>
  <c r="M193" i="25" s="1"/>
  <c r="G201" i="25"/>
  <c r="M201" i="25" s="1"/>
  <c r="G213" i="25"/>
  <c r="M213" i="25" s="1"/>
  <c r="P289" i="31"/>
  <c r="O206" i="14"/>
  <c r="P206" i="14" s="1"/>
  <c r="P290" i="31"/>
  <c r="G276" i="31"/>
  <c r="O219" i="25"/>
  <c r="M204" i="24"/>
  <c r="N204" i="24" s="1"/>
  <c r="M211" i="24"/>
  <c r="N211" i="24" s="1"/>
  <c r="G197" i="25"/>
  <c r="M197" i="25" s="1"/>
  <c r="G217" i="25"/>
  <c r="M217" i="25" s="1"/>
  <c r="O214" i="14"/>
  <c r="P214" i="14" s="1"/>
  <c r="M201" i="24"/>
  <c r="N201" i="24" s="1"/>
  <c r="J258" i="27"/>
  <c r="N258" i="27" s="1"/>
  <c r="Y258" i="27" s="1"/>
  <c r="W269" i="27"/>
  <c r="M207" i="24"/>
  <c r="N207" i="24" s="1"/>
  <c r="Y276" i="27"/>
  <c r="P207" i="24"/>
  <c r="M219" i="24"/>
  <c r="N219" i="24" s="1"/>
  <c r="G209" i="25"/>
  <c r="M209" i="25" s="1"/>
  <c r="O218" i="14"/>
  <c r="P218" i="14" s="1"/>
  <c r="K276" i="31"/>
  <c r="O202" i="14"/>
  <c r="P202" i="14" s="1"/>
  <c r="K259" i="27"/>
  <c r="O259" i="27" s="1"/>
  <c r="Z259" i="27" s="1"/>
  <c r="M195" i="24"/>
  <c r="N195" i="24" s="1"/>
  <c r="M199" i="24"/>
  <c r="N199" i="24" s="1"/>
  <c r="M205" i="24"/>
  <c r="N205" i="24" s="1"/>
  <c r="M208" i="24"/>
  <c r="N208" i="24" s="1"/>
  <c r="I277" i="27"/>
  <c r="M277" i="27" s="1"/>
  <c r="X277" i="27" s="1"/>
  <c r="I257" i="27"/>
  <c r="M257" i="27" s="1"/>
  <c r="X257" i="27" s="1"/>
  <c r="H276" i="27"/>
  <c r="L276" i="27" s="1"/>
  <c r="W276" i="27" s="1"/>
  <c r="J271" i="27"/>
  <c r="N271" i="27" s="1"/>
  <c r="Y271" i="27" s="1"/>
  <c r="I273" i="27"/>
  <c r="M273" i="27" s="1"/>
  <c r="X273" i="27" s="1"/>
  <c r="K276" i="27"/>
  <c r="O276" i="27" s="1"/>
  <c r="Z276" i="27" s="1"/>
  <c r="J277" i="27"/>
  <c r="N277" i="27" s="1"/>
  <c r="Y277" i="27" s="1"/>
  <c r="J253" i="27"/>
  <c r="N253" i="27" s="1"/>
  <c r="Y253" i="27" s="1"/>
  <c r="K253" i="27"/>
  <c r="O253" i="27" s="1"/>
  <c r="Z253" i="27" s="1"/>
  <c r="K254" i="27"/>
  <c r="O254" i="27" s="1"/>
  <c r="Z254" i="27" s="1"/>
  <c r="J255" i="27"/>
  <c r="N255" i="27" s="1"/>
  <c r="Y255" i="27" s="1"/>
  <c r="K256" i="27"/>
  <c r="O256" i="27" s="1"/>
  <c r="Z256" i="27" s="1"/>
  <c r="I258" i="27"/>
  <c r="M258" i="27" s="1"/>
  <c r="X258" i="27" s="1"/>
  <c r="J259" i="27"/>
  <c r="N259" i="27" s="1"/>
  <c r="Y259" i="27" s="1"/>
  <c r="I260" i="27"/>
  <c r="M260" i="27" s="1"/>
  <c r="X260" i="27" s="1"/>
  <c r="K262" i="27"/>
  <c r="O262" i="27" s="1"/>
  <c r="Z262" i="27" s="1"/>
  <c r="K269" i="27"/>
  <c r="O269" i="27" s="1"/>
  <c r="Z269" i="27" s="1"/>
  <c r="I272" i="27"/>
  <c r="M272" i="27" s="1"/>
  <c r="X272" i="27" s="1"/>
  <c r="J274" i="27"/>
  <c r="N274" i="27" s="1"/>
  <c r="Y274" i="27" s="1"/>
  <c r="K279" i="27"/>
  <c r="O279" i="27" s="1"/>
  <c r="Z279" i="27" s="1"/>
  <c r="J257" i="27"/>
  <c r="N257" i="27" s="1"/>
  <c r="Y257" i="27" s="1"/>
  <c r="P257" i="27"/>
  <c r="K260" i="27"/>
  <c r="O260" i="27" s="1"/>
  <c r="Z260" i="27" s="1"/>
  <c r="I271" i="27"/>
  <c r="M271" i="27" s="1"/>
  <c r="X271" i="27" s="1"/>
  <c r="J272" i="27"/>
  <c r="N272" i="27" s="1"/>
  <c r="Y272" i="27" s="1"/>
  <c r="K272" i="27"/>
  <c r="O272" i="27" s="1"/>
  <c r="Z272" i="27" s="1"/>
  <c r="K273" i="27"/>
  <c r="O273" i="27" s="1"/>
  <c r="Z273" i="27" s="1"/>
  <c r="J275" i="27"/>
  <c r="N275" i="27" s="1"/>
  <c r="Y275" i="27" s="1"/>
  <c r="I276" i="27"/>
  <c r="M276" i="27" s="1"/>
  <c r="J280" i="27"/>
  <c r="N280" i="27" s="1"/>
  <c r="Y280" i="27" s="1"/>
  <c r="P260" i="27"/>
  <c r="Q260" i="27" s="1"/>
  <c r="R260" i="27" s="1"/>
  <c r="I253" i="27"/>
  <c r="M253" i="27" s="1"/>
  <c r="X253" i="27" s="1"/>
  <c r="P253" i="27"/>
  <c r="I254" i="27"/>
  <c r="M254" i="27" s="1"/>
  <c r="X254" i="27" s="1"/>
  <c r="H257" i="27"/>
  <c r="L257" i="27" s="1"/>
  <c r="W257" i="27" s="1"/>
  <c r="H260" i="27"/>
  <c r="L260" i="27" s="1"/>
  <c r="W260" i="27" s="1"/>
  <c r="J267" i="27"/>
  <c r="N267" i="27" s="1"/>
  <c r="Y267" i="27" s="1"/>
  <c r="I269" i="27"/>
  <c r="M269" i="27" s="1"/>
  <c r="X269" i="27" s="1"/>
  <c r="J270" i="27"/>
  <c r="N270" i="27" s="1"/>
  <c r="Y270" i="27" s="1"/>
  <c r="H271" i="27"/>
  <c r="L271" i="27" s="1"/>
  <c r="W271" i="27" s="1"/>
  <c r="H272" i="27"/>
  <c r="L272" i="27" s="1"/>
  <c r="W272" i="27" s="1"/>
  <c r="H273" i="27"/>
  <c r="L273" i="27" s="1"/>
  <c r="W273" i="27" s="1"/>
  <c r="P276" i="27"/>
  <c r="P280" i="27"/>
  <c r="K261" i="27"/>
  <c r="O261" i="27" s="1"/>
  <c r="Z261" i="27" s="1"/>
  <c r="H261" i="27"/>
  <c r="L261" i="27" s="1"/>
  <c r="W261" i="27" s="1"/>
  <c r="I264" i="27"/>
  <c r="M264" i="27" s="1"/>
  <c r="X264" i="27" s="1"/>
  <c r="H264" i="27"/>
  <c r="L264" i="27" s="1"/>
  <c r="W264" i="27" s="1"/>
  <c r="P261" i="27"/>
  <c r="K265" i="27"/>
  <c r="O265" i="27" s="1"/>
  <c r="Z265" i="27" s="1"/>
  <c r="I265" i="27"/>
  <c r="M265" i="27" s="1"/>
  <c r="X265" i="27" s="1"/>
  <c r="H265" i="27"/>
  <c r="L265" i="27" s="1"/>
  <c r="W265" i="27" s="1"/>
  <c r="P275" i="27"/>
  <c r="H252" i="27"/>
  <c r="L252" i="27" s="1"/>
  <c r="W252" i="27" s="1"/>
  <c r="J254" i="27"/>
  <c r="N254" i="27" s="1"/>
  <c r="P254" i="27"/>
  <c r="P255" i="27"/>
  <c r="H255" i="27"/>
  <c r="L255" i="27" s="1"/>
  <c r="W255" i="27" s="1"/>
  <c r="K255" i="27"/>
  <c r="O255" i="27" s="1"/>
  <c r="Z255" i="27" s="1"/>
  <c r="I256" i="27"/>
  <c r="M256" i="27" s="1"/>
  <c r="X256" i="27" s="1"/>
  <c r="P256" i="27"/>
  <c r="H256" i="27"/>
  <c r="L256" i="27" s="1"/>
  <c r="W256" i="27" s="1"/>
  <c r="I259" i="27"/>
  <c r="M259" i="27" s="1"/>
  <c r="X259" i="27" s="1"/>
  <c r="H259" i="27"/>
  <c r="L259" i="27" s="1"/>
  <c r="W259" i="27" s="1"/>
  <c r="I261" i="27"/>
  <c r="M261" i="27" s="1"/>
  <c r="X261" i="27" s="1"/>
  <c r="I270" i="27"/>
  <c r="M270" i="27" s="1"/>
  <c r="X270" i="27" s="1"/>
  <c r="K277" i="27"/>
  <c r="O277" i="27" s="1"/>
  <c r="Z277" i="27" s="1"/>
  <c r="H277" i="27"/>
  <c r="L277" i="27" s="1"/>
  <c r="W277" i="27" s="1"/>
  <c r="I280" i="27"/>
  <c r="M280" i="27" s="1"/>
  <c r="X280" i="27" s="1"/>
  <c r="H280" i="27"/>
  <c r="L280" i="27" s="1"/>
  <c r="W280" i="27" s="1"/>
  <c r="J252" i="27"/>
  <c r="N252" i="27" s="1"/>
  <c r="Y252" i="27" s="1"/>
  <c r="I275" i="27"/>
  <c r="M275" i="27" s="1"/>
  <c r="X275" i="27" s="1"/>
  <c r="H275" i="27"/>
  <c r="L275" i="27" s="1"/>
  <c r="W275" i="27" s="1"/>
  <c r="K252" i="27"/>
  <c r="O252" i="27" s="1"/>
  <c r="Z252" i="27" s="1"/>
  <c r="I263" i="27"/>
  <c r="M263" i="27" s="1"/>
  <c r="X263" i="27" s="1"/>
  <c r="J263" i="27"/>
  <c r="N263" i="27" s="1"/>
  <c r="Y263" i="27" s="1"/>
  <c r="H263" i="27"/>
  <c r="L263" i="27" s="1"/>
  <c r="W263" i="27" s="1"/>
  <c r="P263" i="27"/>
  <c r="K264" i="27"/>
  <c r="O264" i="27" s="1"/>
  <c r="Z264" i="27" s="1"/>
  <c r="P265" i="27"/>
  <c r="K268" i="27"/>
  <c r="O268" i="27" s="1"/>
  <c r="Z268" i="27" s="1"/>
  <c r="I268" i="27"/>
  <c r="M268" i="27" s="1"/>
  <c r="X268" i="27" s="1"/>
  <c r="P278" i="27"/>
  <c r="H278" i="27"/>
  <c r="L278" i="27" s="1"/>
  <c r="W278" i="27" s="1"/>
  <c r="I278" i="27"/>
  <c r="M278" i="27" s="1"/>
  <c r="X278" i="27" s="1"/>
  <c r="P282" i="27"/>
  <c r="H282" i="27"/>
  <c r="L282" i="27" s="1"/>
  <c r="W282" i="27" s="1"/>
  <c r="J282" i="27"/>
  <c r="N282" i="27" s="1"/>
  <c r="Y282" i="27" s="1"/>
  <c r="I282" i="27"/>
  <c r="M282" i="27" s="1"/>
  <c r="X282" i="27" s="1"/>
  <c r="H283" i="27"/>
  <c r="L283" i="27" s="1"/>
  <c r="W283" i="27" s="1"/>
  <c r="P252" i="27"/>
  <c r="P259" i="27"/>
  <c r="J261" i="27"/>
  <c r="N261" i="27" s="1"/>
  <c r="Y261" i="27" s="1"/>
  <c r="P262" i="27"/>
  <c r="H262" i="27"/>
  <c r="L262" i="27" s="1"/>
  <c r="W262" i="27" s="1"/>
  <c r="I262" i="27"/>
  <c r="M262" i="27" s="1"/>
  <c r="X262" i="27" s="1"/>
  <c r="K263" i="27"/>
  <c r="O263" i="27" s="1"/>
  <c r="Z263" i="27" s="1"/>
  <c r="J264" i="27"/>
  <c r="N264" i="27" s="1"/>
  <c r="Y264" i="27" s="1"/>
  <c r="J265" i="27"/>
  <c r="N265" i="27" s="1"/>
  <c r="Y265" i="27" s="1"/>
  <c r="P266" i="27"/>
  <c r="H266" i="27"/>
  <c r="L266" i="27" s="1"/>
  <c r="W266" i="27" s="1"/>
  <c r="J266" i="27"/>
  <c r="N266" i="27" s="1"/>
  <c r="Y266" i="27" s="1"/>
  <c r="I266" i="27"/>
  <c r="M266" i="27" s="1"/>
  <c r="X266" i="27" s="1"/>
  <c r="H267" i="27"/>
  <c r="L267" i="27" s="1"/>
  <c r="W267" i="27" s="1"/>
  <c r="K275" i="27"/>
  <c r="O275" i="27" s="1"/>
  <c r="Z275" i="27" s="1"/>
  <c r="P277" i="27"/>
  <c r="J278" i="27"/>
  <c r="N278" i="27" s="1"/>
  <c r="Y278" i="27" s="1"/>
  <c r="I279" i="27"/>
  <c r="M279" i="27" s="1"/>
  <c r="X279" i="27" s="1"/>
  <c r="J279" i="27"/>
  <c r="N279" i="27" s="1"/>
  <c r="Y279" i="27" s="1"/>
  <c r="H279" i="27"/>
  <c r="L279" i="27" s="1"/>
  <c r="W279" i="27" s="1"/>
  <c r="P279" i="27"/>
  <c r="K280" i="27"/>
  <c r="O280" i="27" s="1"/>
  <c r="Z280" i="27" s="1"/>
  <c r="K281" i="27"/>
  <c r="O281" i="27" s="1"/>
  <c r="Z281" i="27" s="1"/>
  <c r="I281" i="27"/>
  <c r="M281" i="27" s="1"/>
  <c r="X281" i="27" s="1"/>
  <c r="H281" i="27"/>
  <c r="L281" i="27" s="1"/>
  <c r="W281" i="27" s="1"/>
  <c r="P281" i="27"/>
  <c r="K282" i="27"/>
  <c r="O282" i="27" s="1"/>
  <c r="Z282" i="27" s="1"/>
  <c r="P258" i="27"/>
  <c r="H258" i="27"/>
  <c r="L258" i="27" s="1"/>
  <c r="W258" i="27" s="1"/>
  <c r="K258" i="27"/>
  <c r="O258" i="27" s="1"/>
  <c r="Z258" i="27" s="1"/>
  <c r="K271" i="27"/>
  <c r="O271" i="27" s="1"/>
  <c r="Z271" i="27" s="1"/>
  <c r="P271" i="27"/>
  <c r="J273" i="27"/>
  <c r="N273" i="27" s="1"/>
  <c r="Y273" i="27" s="1"/>
  <c r="P273" i="27"/>
  <c r="P274" i="27"/>
  <c r="H274" i="27"/>
  <c r="L274" i="27" s="1"/>
  <c r="W274" i="27" s="1"/>
  <c r="K274" i="27"/>
  <c r="O274" i="27" s="1"/>
  <c r="Z274" i="27" s="1"/>
  <c r="I267" i="27"/>
  <c r="M267" i="27" s="1"/>
  <c r="X267" i="27" s="1"/>
  <c r="K267" i="27"/>
  <c r="O267" i="27" s="1"/>
  <c r="Z267" i="27" s="1"/>
  <c r="P267" i="27"/>
  <c r="J268" i="27"/>
  <c r="N268" i="27" s="1"/>
  <c r="Y268" i="27" s="1"/>
  <c r="J269" i="27"/>
  <c r="N269" i="27" s="1"/>
  <c r="Y269" i="27" s="1"/>
  <c r="P269" i="27"/>
  <c r="P270" i="27"/>
  <c r="H270" i="27"/>
  <c r="L270" i="27" s="1"/>
  <c r="W270" i="27" s="1"/>
  <c r="K270" i="27"/>
  <c r="O270" i="27" s="1"/>
  <c r="Z270" i="27" s="1"/>
  <c r="I283" i="27"/>
  <c r="M283" i="27" s="1"/>
  <c r="X283" i="27" s="1"/>
  <c r="K283" i="27"/>
  <c r="O283" i="27" s="1"/>
  <c r="Z283" i="27" s="1"/>
  <c r="P283" i="27"/>
  <c r="M212" i="24"/>
  <c r="N212" i="24" s="1"/>
  <c r="M193" i="24"/>
  <c r="N193" i="24" s="1"/>
  <c r="M191" i="24"/>
  <c r="N191" i="24" s="1"/>
  <c r="M198" i="24"/>
  <c r="N198" i="24" s="1"/>
  <c r="M190" i="24"/>
  <c r="N190" i="24" s="1"/>
  <c r="M202" i="24"/>
  <c r="N202" i="24" s="1"/>
  <c r="M210" i="24"/>
  <c r="N210" i="24" s="1"/>
  <c r="M218" i="24"/>
  <c r="N218" i="24" s="1"/>
  <c r="M220" i="24"/>
  <c r="N220" i="24" s="1"/>
  <c r="J205" i="25"/>
  <c r="K205" i="25" s="1"/>
  <c r="J208" i="25"/>
  <c r="K208" i="25" s="1"/>
  <c r="H220" i="25"/>
  <c r="N220" i="25" s="1"/>
  <c r="G220" i="25"/>
  <c r="I220" i="25"/>
  <c r="O220" i="25" s="1"/>
  <c r="H189" i="25"/>
  <c r="H190" i="25"/>
  <c r="H191" i="25"/>
  <c r="H192" i="25"/>
  <c r="N192" i="25" s="1"/>
  <c r="H193" i="25"/>
  <c r="H194" i="25"/>
  <c r="N194" i="25" s="1"/>
  <c r="H195" i="25"/>
  <c r="H196" i="25"/>
  <c r="N196" i="25" s="1"/>
  <c r="H197" i="25"/>
  <c r="H198" i="25"/>
  <c r="H199" i="25"/>
  <c r="H200" i="25"/>
  <c r="H201" i="25"/>
  <c r="H202" i="25"/>
  <c r="H203" i="25"/>
  <c r="H204" i="25"/>
  <c r="H205" i="25"/>
  <c r="N205" i="25" s="1"/>
  <c r="H206" i="25"/>
  <c r="H207" i="25"/>
  <c r="H208" i="25"/>
  <c r="N208" i="25" s="1"/>
  <c r="H209" i="25"/>
  <c r="N209" i="25" s="1"/>
  <c r="H210" i="25"/>
  <c r="N210" i="25" s="1"/>
  <c r="H211" i="25"/>
  <c r="H212" i="25"/>
  <c r="N212" i="25" s="1"/>
  <c r="H213" i="25"/>
  <c r="H214" i="25"/>
  <c r="H215" i="25"/>
  <c r="H216" i="25"/>
  <c r="H217" i="25"/>
  <c r="H218" i="25"/>
  <c r="G219" i="25"/>
  <c r="H219" i="25"/>
  <c r="N219" i="25" s="1"/>
  <c r="K277" i="31"/>
  <c r="C278" i="31"/>
  <c r="C279" i="31" s="1"/>
  <c r="F279" i="31"/>
  <c r="F278" i="31"/>
  <c r="F277" i="31"/>
  <c r="G277" i="31" s="1"/>
  <c r="O76" i="19"/>
  <c r="B91" i="18" s="1"/>
  <c r="C93" i="18" l="1"/>
  <c r="J211" i="25"/>
  <c r="K211" i="25" s="1"/>
  <c r="N211" i="25"/>
  <c r="J199" i="25"/>
  <c r="K199" i="25" s="1"/>
  <c r="N199" i="25"/>
  <c r="J220" i="25"/>
  <c r="K220" i="25" s="1"/>
  <c r="M220" i="25"/>
  <c r="W284" i="27"/>
  <c r="Q276" i="27"/>
  <c r="R276" i="27" s="1"/>
  <c r="X276" i="27"/>
  <c r="X284" i="27" s="1"/>
  <c r="J198" i="25"/>
  <c r="K198" i="25" s="1"/>
  <c r="N198" i="25"/>
  <c r="J210" i="25"/>
  <c r="K210" i="25" s="1"/>
  <c r="J194" i="25"/>
  <c r="K194" i="25" s="1"/>
  <c r="J189" i="25"/>
  <c r="K189" i="25" s="1"/>
  <c r="K221" i="25" s="1"/>
  <c r="N189" i="25"/>
  <c r="J219" i="25"/>
  <c r="K219" i="25" s="1"/>
  <c r="M219" i="25"/>
  <c r="J207" i="25"/>
  <c r="K207" i="25" s="1"/>
  <c r="N207" i="25"/>
  <c r="J195" i="25"/>
  <c r="K195" i="25" s="1"/>
  <c r="N195" i="25"/>
  <c r="J212" i="25"/>
  <c r="K212" i="25" s="1"/>
  <c r="Q272" i="27"/>
  <c r="R272" i="27" s="1"/>
  <c r="N221" i="24"/>
  <c r="J190" i="25"/>
  <c r="K190" i="25" s="1"/>
  <c r="N190" i="25"/>
  <c r="Q254" i="27"/>
  <c r="R254" i="27" s="1"/>
  <c r="Y254" i="27"/>
  <c r="Y284" i="27" s="1"/>
  <c r="J213" i="25"/>
  <c r="K213" i="25" s="1"/>
  <c r="N213" i="25"/>
  <c r="J200" i="25"/>
  <c r="K200" i="25" s="1"/>
  <c r="N200" i="25"/>
  <c r="Z284" i="27"/>
  <c r="J214" i="25"/>
  <c r="K214" i="25" s="1"/>
  <c r="N214" i="25"/>
  <c r="J197" i="25"/>
  <c r="K197" i="25" s="1"/>
  <c r="N197" i="25"/>
  <c r="J218" i="25"/>
  <c r="K218" i="25" s="1"/>
  <c r="N218" i="25"/>
  <c r="J206" i="25"/>
  <c r="K206" i="25" s="1"/>
  <c r="N206" i="25"/>
  <c r="J217" i="25"/>
  <c r="K217" i="25" s="1"/>
  <c r="N217" i="25"/>
  <c r="J193" i="25"/>
  <c r="K193" i="25" s="1"/>
  <c r="N193" i="25"/>
  <c r="J196" i="25"/>
  <c r="K196" i="25" s="1"/>
  <c r="J216" i="25"/>
  <c r="K216" i="25" s="1"/>
  <c r="N216" i="25"/>
  <c r="J204" i="25"/>
  <c r="K204" i="25" s="1"/>
  <c r="N204" i="25"/>
  <c r="J192" i="25"/>
  <c r="K192" i="25" s="1"/>
  <c r="Q253" i="27"/>
  <c r="R253" i="27" s="1"/>
  <c r="J202" i="25"/>
  <c r="K202" i="25" s="1"/>
  <c r="N202" i="25"/>
  <c r="J201" i="25"/>
  <c r="K201" i="25" s="1"/>
  <c r="N201" i="25"/>
  <c r="J215" i="25"/>
  <c r="K215" i="25" s="1"/>
  <c r="N215" i="25"/>
  <c r="J203" i="25"/>
  <c r="K203" i="25" s="1"/>
  <c r="N203" i="25"/>
  <c r="J191" i="25"/>
  <c r="K191" i="25" s="1"/>
  <c r="N191" i="25"/>
  <c r="J209" i="25"/>
  <c r="K209" i="25" s="1"/>
  <c r="Q271" i="27"/>
  <c r="R271" i="27" s="1"/>
  <c r="Q257" i="27"/>
  <c r="R257" i="27" s="1"/>
  <c r="Q269" i="27"/>
  <c r="R269" i="27" s="1"/>
  <c r="Q273" i="27"/>
  <c r="R273" i="27" s="1"/>
  <c r="Q266" i="27"/>
  <c r="R266" i="27" s="1"/>
  <c r="Q268" i="27"/>
  <c r="R268" i="27" s="1"/>
  <c r="Q259" i="27"/>
  <c r="R259" i="27" s="1"/>
  <c r="Q265" i="27"/>
  <c r="R265" i="27" s="1"/>
  <c r="Q264" i="27"/>
  <c r="R264" i="27" s="1"/>
  <c r="Q275" i="27"/>
  <c r="R275" i="27" s="1"/>
  <c r="Q270" i="27"/>
  <c r="R270" i="27" s="1"/>
  <c r="Q281" i="27"/>
  <c r="R281" i="27" s="1"/>
  <c r="Q278" i="27"/>
  <c r="R278" i="27" s="1"/>
  <c r="Q280" i="27"/>
  <c r="R280" i="27" s="1"/>
  <c r="Q258" i="27"/>
  <c r="R258" i="27" s="1"/>
  <c r="Q267" i="27"/>
  <c r="R267" i="27" s="1"/>
  <c r="Q263" i="27"/>
  <c r="R263" i="27" s="1"/>
  <c r="Q274" i="27"/>
  <c r="R274" i="27" s="1"/>
  <c r="Q279" i="27"/>
  <c r="R279" i="27" s="1"/>
  <c r="Q262" i="27"/>
  <c r="R262" i="27" s="1"/>
  <c r="Q282" i="27"/>
  <c r="R282" i="27" s="1"/>
  <c r="Q256" i="27"/>
  <c r="R256" i="27" s="1"/>
  <c r="Q255" i="27"/>
  <c r="R255" i="27" s="1"/>
  <c r="Q252" i="27"/>
  <c r="R252" i="27" s="1"/>
  <c r="Q283" i="27"/>
  <c r="R283" i="27" s="1"/>
  <c r="Q277" i="27"/>
  <c r="R277" i="27" s="1"/>
  <c r="Q261" i="27"/>
  <c r="R261" i="27" s="1"/>
  <c r="K279" i="31"/>
  <c r="C280" i="31"/>
  <c r="G278" i="31"/>
  <c r="G279" i="31"/>
  <c r="K278" i="31"/>
  <c r="C94" i="18" l="1"/>
  <c r="C96" i="18"/>
  <c r="N221" i="25"/>
  <c r="R284" i="27"/>
  <c r="C281" i="31"/>
  <c r="G280" i="31"/>
  <c r="K280" i="31"/>
  <c r="C95" i="18" l="1"/>
  <c r="G281" i="31"/>
  <c r="C282" i="31"/>
  <c r="K281" i="31"/>
  <c r="C283" i="31" l="1"/>
  <c r="K282" i="31"/>
  <c r="G282" i="31"/>
  <c r="K283" i="31" l="1"/>
  <c r="C284" i="31"/>
  <c r="G283" i="31"/>
  <c r="C285" i="31" l="1"/>
  <c r="K284" i="31"/>
  <c r="G284" i="31"/>
  <c r="G285" i="31" l="1"/>
  <c r="C286" i="31"/>
  <c r="K285" i="31"/>
  <c r="C287" i="31" l="1"/>
  <c r="G286" i="31"/>
  <c r="K286" i="31"/>
  <c r="K287" i="31" l="1"/>
  <c r="C288" i="31"/>
  <c r="G287" i="31"/>
  <c r="G288" i="31" l="1"/>
  <c r="C289" i="31"/>
  <c r="K288" i="31"/>
  <c r="G289" i="31" l="1"/>
  <c r="C290" i="31"/>
  <c r="K289" i="31"/>
  <c r="C291" i="31" l="1"/>
  <c r="K290" i="31"/>
  <c r="G290" i="31"/>
  <c r="C292" i="31" l="1"/>
  <c r="G291" i="31"/>
  <c r="K291" i="31"/>
  <c r="C293" i="31" l="1"/>
  <c r="K292" i="31"/>
  <c r="G292" i="31"/>
  <c r="G293" i="31" l="1"/>
  <c r="C294" i="31"/>
  <c r="K293" i="31"/>
  <c r="C295" i="31" l="1"/>
  <c r="K294" i="31"/>
  <c r="G294" i="31"/>
  <c r="C296" i="31" l="1"/>
  <c r="G295" i="31"/>
  <c r="K295" i="31"/>
  <c r="K296" i="31" l="1"/>
  <c r="C297" i="31"/>
  <c r="G296" i="31"/>
  <c r="K297" i="31" l="1"/>
  <c r="C298" i="31"/>
  <c r="G297" i="31"/>
  <c r="G298" i="31" l="1"/>
  <c r="C299" i="31"/>
  <c r="K298" i="31"/>
  <c r="C300" i="31" l="1"/>
  <c r="G299" i="31"/>
  <c r="K299" i="31"/>
  <c r="K300" i="31" l="1"/>
  <c r="C301" i="31"/>
  <c r="G300" i="31"/>
  <c r="K301" i="31" l="1"/>
  <c r="C302" i="31"/>
  <c r="G301" i="31"/>
  <c r="G302" i="31" l="1"/>
  <c r="C303" i="31"/>
  <c r="K302" i="31"/>
  <c r="C304" i="31" l="1"/>
  <c r="G303" i="31"/>
  <c r="K303" i="31"/>
  <c r="K304" i="31" l="1"/>
  <c r="K309" i="31" s="1"/>
  <c r="B92" i="18" s="1"/>
  <c r="B97" i="18" s="1"/>
  <c r="G304" i="31"/>
  <c r="G309" i="31" s="1"/>
  <c r="C92" i="18" s="1"/>
  <c r="C97" i="18" s="1"/>
  <c r="C98" i="18" l="1"/>
  <c r="I312" i="31"/>
  <c r="G236" i="27" l="1"/>
  <c r="F236" i="27"/>
  <c r="K236" i="27" s="1"/>
  <c r="O236" i="27" s="1"/>
  <c r="P235" i="27"/>
  <c r="G235" i="27"/>
  <c r="F235" i="27"/>
  <c r="G234" i="27"/>
  <c r="F234" i="27"/>
  <c r="G233" i="27"/>
  <c r="I233" i="27" s="1"/>
  <c r="M233" i="27" s="1"/>
  <c r="X233" i="27" s="1"/>
  <c r="F233" i="27"/>
  <c r="G232" i="27"/>
  <c r="F232" i="27"/>
  <c r="I232" i="27" s="1"/>
  <c r="M232" i="27" s="1"/>
  <c r="G231" i="27"/>
  <c r="K231" i="27" s="1"/>
  <c r="O231" i="27" s="1"/>
  <c r="F231" i="27"/>
  <c r="P231" i="27" s="1"/>
  <c r="G230" i="27"/>
  <c r="F230" i="27"/>
  <c r="G229" i="27"/>
  <c r="F229" i="27"/>
  <c r="G228" i="27"/>
  <c r="F228" i="27"/>
  <c r="K228" i="27" s="1"/>
  <c r="O228" i="27" s="1"/>
  <c r="Z228" i="27" s="1"/>
  <c r="P227" i="27"/>
  <c r="G227" i="27"/>
  <c r="F227" i="27"/>
  <c r="G226" i="27"/>
  <c r="F226" i="27"/>
  <c r="G225" i="27"/>
  <c r="F225" i="27"/>
  <c r="I225" i="27" s="1"/>
  <c r="M225" i="27" s="1"/>
  <c r="G224" i="27"/>
  <c r="I224" i="27" s="1"/>
  <c r="M224" i="27" s="1"/>
  <c r="X224" i="27" s="1"/>
  <c r="F224" i="27"/>
  <c r="G223" i="27"/>
  <c r="F223" i="27"/>
  <c r="G222" i="27"/>
  <c r="F222" i="27"/>
  <c r="G221" i="27"/>
  <c r="F221" i="27"/>
  <c r="G220" i="27"/>
  <c r="F220" i="27"/>
  <c r="G219" i="27"/>
  <c r="F219" i="27"/>
  <c r="G218" i="27"/>
  <c r="F218" i="27"/>
  <c r="G217" i="27"/>
  <c r="F217" i="27"/>
  <c r="G216" i="27"/>
  <c r="F216" i="27"/>
  <c r="G215" i="27"/>
  <c r="F215" i="27"/>
  <c r="P215" i="27" s="1"/>
  <c r="G214" i="27"/>
  <c r="F214" i="27"/>
  <c r="G213" i="27"/>
  <c r="F213" i="27"/>
  <c r="G212" i="27"/>
  <c r="H212" i="27" s="1"/>
  <c r="L212" i="27" s="1"/>
  <c r="W212" i="27" s="1"/>
  <c r="F212" i="27"/>
  <c r="G211" i="27"/>
  <c r="F211" i="27"/>
  <c r="P211" i="27" s="1"/>
  <c r="G210" i="27"/>
  <c r="F210" i="27"/>
  <c r="I209" i="27"/>
  <c r="M209" i="27" s="1"/>
  <c r="X209" i="27" s="1"/>
  <c r="G209" i="27"/>
  <c r="H209" i="27" s="1"/>
  <c r="L209" i="27" s="1"/>
  <c r="W209" i="27" s="1"/>
  <c r="F209" i="27"/>
  <c r="K209" i="27" s="1"/>
  <c r="O209" i="27" s="1"/>
  <c r="Z209" i="27" s="1"/>
  <c r="G208" i="27"/>
  <c r="F208" i="27"/>
  <c r="G207" i="27"/>
  <c r="I207" i="27" s="1"/>
  <c r="M207" i="27" s="1"/>
  <c r="X207" i="27" s="1"/>
  <c r="F207" i="27"/>
  <c r="G206" i="27"/>
  <c r="F206" i="27"/>
  <c r="K206" i="27" s="1"/>
  <c r="O206" i="27" s="1"/>
  <c r="Z206" i="27" s="1"/>
  <c r="B206" i="27"/>
  <c r="B207" i="27" s="1"/>
  <c r="B208" i="27" s="1"/>
  <c r="B209" i="27" s="1"/>
  <c r="B210" i="27" s="1"/>
  <c r="B211" i="27" s="1"/>
  <c r="B212" i="27" s="1"/>
  <c r="B213" i="27" s="1"/>
  <c r="B214" i="27" s="1"/>
  <c r="B215" i="27" s="1"/>
  <c r="B216" i="27" s="1"/>
  <c r="B217" i="27" s="1"/>
  <c r="B218" i="27" s="1"/>
  <c r="B219" i="27" s="1"/>
  <c r="B220" i="27" s="1"/>
  <c r="B221" i="27" s="1"/>
  <c r="B222" i="27" s="1"/>
  <c r="B223" i="27" s="1"/>
  <c r="B224" i="27" s="1"/>
  <c r="B225" i="27" s="1"/>
  <c r="B226" i="27" s="1"/>
  <c r="B227" i="27" s="1"/>
  <c r="B228" i="27" s="1"/>
  <c r="B229" i="27" s="1"/>
  <c r="B230" i="27" s="1"/>
  <c r="B231" i="27" s="1"/>
  <c r="B232" i="27" s="1"/>
  <c r="B233" i="27" s="1"/>
  <c r="B234" i="27" s="1"/>
  <c r="B235" i="27" s="1"/>
  <c r="B236" i="27" s="1"/>
  <c r="A206" i="27"/>
  <c r="A207" i="27" s="1"/>
  <c r="A208" i="27" s="1"/>
  <c r="A209" i="27" s="1"/>
  <c r="A210" i="27" s="1"/>
  <c r="A211" i="27" s="1"/>
  <c r="A212" i="27" s="1"/>
  <c r="A213" i="27" s="1"/>
  <c r="A214" i="27" s="1"/>
  <c r="A215" i="27" s="1"/>
  <c r="A216" i="27" s="1"/>
  <c r="A217" i="27" s="1"/>
  <c r="A218" i="27" s="1"/>
  <c r="A219" i="27" s="1"/>
  <c r="A220" i="27" s="1"/>
  <c r="A221" i="27" s="1"/>
  <c r="A222" i="27" s="1"/>
  <c r="A223" i="27" s="1"/>
  <c r="A224" i="27" s="1"/>
  <c r="A225" i="27" s="1"/>
  <c r="A226" i="27" s="1"/>
  <c r="A227" i="27" s="1"/>
  <c r="A228" i="27" s="1"/>
  <c r="A229" i="27" s="1"/>
  <c r="A230" i="27" s="1"/>
  <c r="A231" i="27" s="1"/>
  <c r="A232" i="27" s="1"/>
  <c r="A233" i="27" s="1"/>
  <c r="A234" i="27" s="1"/>
  <c r="A235" i="27" s="1"/>
  <c r="A236" i="27" s="1"/>
  <c r="G205" i="27"/>
  <c r="F205" i="27"/>
  <c r="P205" i="27" s="1"/>
  <c r="I183" i="24"/>
  <c r="K183" i="24" s="1"/>
  <c r="L183" i="24" s="1"/>
  <c r="D183" i="24"/>
  <c r="F183" i="24" s="1"/>
  <c r="G183" i="24" s="1"/>
  <c r="I182" i="24"/>
  <c r="K182" i="24" s="1"/>
  <c r="L182" i="24" s="1"/>
  <c r="P182" i="24" s="1"/>
  <c r="F182" i="24"/>
  <c r="G182" i="24" s="1"/>
  <c r="D182" i="24"/>
  <c r="A182" i="24"/>
  <c r="A183" i="24" s="1"/>
  <c r="I181" i="24"/>
  <c r="K181" i="24" s="1"/>
  <c r="L181" i="24" s="1"/>
  <c r="P181" i="24" s="1"/>
  <c r="D181" i="24"/>
  <c r="F181" i="24" s="1"/>
  <c r="G181" i="24" s="1"/>
  <c r="K180" i="24"/>
  <c r="L180" i="24" s="1"/>
  <c r="P180" i="24" s="1"/>
  <c r="I180" i="24"/>
  <c r="D180" i="24"/>
  <c r="F180" i="24" s="1"/>
  <c r="G180" i="24" s="1"/>
  <c r="M180" i="24" s="1"/>
  <c r="N180" i="24" s="1"/>
  <c r="I179" i="24"/>
  <c r="K179" i="24" s="1"/>
  <c r="L179" i="24" s="1"/>
  <c r="P179" i="24" s="1"/>
  <c r="D179" i="24"/>
  <c r="F179" i="24" s="1"/>
  <c r="G179" i="24" s="1"/>
  <c r="M179" i="24" s="1"/>
  <c r="N179" i="24" s="1"/>
  <c r="I178" i="24"/>
  <c r="K178" i="24" s="1"/>
  <c r="L178" i="24" s="1"/>
  <c r="P178" i="24" s="1"/>
  <c r="D178" i="24"/>
  <c r="F178" i="24" s="1"/>
  <c r="G178" i="24" s="1"/>
  <c r="M178" i="24" s="1"/>
  <c r="N178" i="24" s="1"/>
  <c r="I177" i="24"/>
  <c r="K177" i="24" s="1"/>
  <c r="L177" i="24" s="1"/>
  <c r="P177" i="24" s="1"/>
  <c r="D177" i="24"/>
  <c r="F177" i="24" s="1"/>
  <c r="G177" i="24" s="1"/>
  <c r="K176" i="24"/>
  <c r="L176" i="24" s="1"/>
  <c r="P176" i="24" s="1"/>
  <c r="I176" i="24"/>
  <c r="F176" i="24"/>
  <c r="G176" i="24" s="1"/>
  <c r="D176" i="24"/>
  <c r="I175" i="24"/>
  <c r="K175" i="24" s="1"/>
  <c r="L175" i="24" s="1"/>
  <c r="P175" i="24" s="1"/>
  <c r="F175" i="24"/>
  <c r="G175" i="24" s="1"/>
  <c r="D175" i="24"/>
  <c r="I174" i="24"/>
  <c r="K174" i="24" s="1"/>
  <c r="L174" i="24" s="1"/>
  <c r="P174" i="24" s="1"/>
  <c r="D174" i="24"/>
  <c r="F174" i="24" s="1"/>
  <c r="G174" i="24" s="1"/>
  <c r="M174" i="24" s="1"/>
  <c r="N174" i="24" s="1"/>
  <c r="I173" i="24"/>
  <c r="K173" i="24" s="1"/>
  <c r="L173" i="24" s="1"/>
  <c r="P173" i="24" s="1"/>
  <c r="D173" i="24"/>
  <c r="F173" i="24" s="1"/>
  <c r="G173" i="24" s="1"/>
  <c r="I172" i="24"/>
  <c r="K172" i="24" s="1"/>
  <c r="L172" i="24" s="1"/>
  <c r="P172" i="24" s="1"/>
  <c r="D172" i="24"/>
  <c r="F172" i="24" s="1"/>
  <c r="G172" i="24" s="1"/>
  <c r="I171" i="24"/>
  <c r="K171" i="24" s="1"/>
  <c r="L171" i="24" s="1"/>
  <c r="P171" i="24" s="1"/>
  <c r="D171" i="24"/>
  <c r="F171" i="24" s="1"/>
  <c r="G171" i="24" s="1"/>
  <c r="M171" i="24" s="1"/>
  <c r="N171" i="24" s="1"/>
  <c r="I170" i="24"/>
  <c r="K170" i="24" s="1"/>
  <c r="L170" i="24" s="1"/>
  <c r="P170" i="24" s="1"/>
  <c r="D170" i="24"/>
  <c r="F170" i="24" s="1"/>
  <c r="G170" i="24" s="1"/>
  <c r="I169" i="24"/>
  <c r="K169" i="24" s="1"/>
  <c r="L169" i="24" s="1"/>
  <c r="P169" i="24" s="1"/>
  <c r="D169" i="24"/>
  <c r="F169" i="24" s="1"/>
  <c r="G169" i="24" s="1"/>
  <c r="K168" i="24"/>
  <c r="L168" i="24" s="1"/>
  <c r="P168" i="24" s="1"/>
  <c r="I168" i="24"/>
  <c r="D168" i="24"/>
  <c r="F168" i="24" s="1"/>
  <c r="G168" i="24" s="1"/>
  <c r="L167" i="24"/>
  <c r="P167" i="24" s="1"/>
  <c r="I167" i="24"/>
  <c r="K167" i="24" s="1"/>
  <c r="D167" i="24"/>
  <c r="F167" i="24" s="1"/>
  <c r="G167" i="24" s="1"/>
  <c r="K166" i="24"/>
  <c r="L166" i="24" s="1"/>
  <c r="P166" i="24" s="1"/>
  <c r="I166" i="24"/>
  <c r="D166" i="24"/>
  <c r="F166" i="24" s="1"/>
  <c r="G166" i="24" s="1"/>
  <c r="I165" i="24"/>
  <c r="K165" i="24" s="1"/>
  <c r="L165" i="24" s="1"/>
  <c r="P165" i="24" s="1"/>
  <c r="D165" i="24"/>
  <c r="F165" i="24" s="1"/>
  <c r="G165" i="24" s="1"/>
  <c r="I164" i="24"/>
  <c r="K164" i="24" s="1"/>
  <c r="L164" i="24" s="1"/>
  <c r="P164" i="24" s="1"/>
  <c r="D164" i="24"/>
  <c r="F164" i="24" s="1"/>
  <c r="G164" i="24" s="1"/>
  <c r="I163" i="24"/>
  <c r="K163" i="24" s="1"/>
  <c r="L163" i="24" s="1"/>
  <c r="F163" i="24"/>
  <c r="G163" i="24" s="1"/>
  <c r="D163" i="24"/>
  <c r="I162" i="24"/>
  <c r="K162" i="24" s="1"/>
  <c r="L162" i="24" s="1"/>
  <c r="D162" i="24"/>
  <c r="F162" i="24" s="1"/>
  <c r="G162" i="24" s="1"/>
  <c r="I161" i="24"/>
  <c r="K161" i="24" s="1"/>
  <c r="L161" i="24" s="1"/>
  <c r="P161" i="24" s="1"/>
  <c r="D161" i="24"/>
  <c r="F161" i="24" s="1"/>
  <c r="G161" i="24" s="1"/>
  <c r="K160" i="24"/>
  <c r="L160" i="24" s="1"/>
  <c r="P160" i="24" s="1"/>
  <c r="I160" i="24"/>
  <c r="D160" i="24"/>
  <c r="F160" i="24" s="1"/>
  <c r="G160" i="24" s="1"/>
  <c r="I159" i="24"/>
  <c r="K159" i="24" s="1"/>
  <c r="L159" i="24" s="1"/>
  <c r="P159" i="24" s="1"/>
  <c r="G159" i="24"/>
  <c r="M159" i="24" s="1"/>
  <c r="N159" i="24" s="1"/>
  <c r="F159" i="24"/>
  <c r="D159" i="24"/>
  <c r="I158" i="24"/>
  <c r="K158" i="24" s="1"/>
  <c r="L158" i="24" s="1"/>
  <c r="P158" i="24" s="1"/>
  <c r="G158" i="24"/>
  <c r="D158" i="24"/>
  <c r="F158" i="24" s="1"/>
  <c r="I157" i="24"/>
  <c r="K157" i="24" s="1"/>
  <c r="L157" i="24" s="1"/>
  <c r="P157" i="24" s="1"/>
  <c r="D157" i="24"/>
  <c r="F157" i="24" s="1"/>
  <c r="G157" i="24" s="1"/>
  <c r="M157" i="24" s="1"/>
  <c r="N157" i="24" s="1"/>
  <c r="K156" i="24"/>
  <c r="L156" i="24" s="1"/>
  <c r="P156" i="24" s="1"/>
  <c r="I156" i="24"/>
  <c r="D156" i="24"/>
  <c r="F156" i="24" s="1"/>
  <c r="G156" i="24" s="1"/>
  <c r="I155" i="24"/>
  <c r="K155" i="24" s="1"/>
  <c r="L155" i="24" s="1"/>
  <c r="P155" i="24" s="1"/>
  <c r="F155" i="24"/>
  <c r="G155" i="24" s="1"/>
  <c r="D155" i="24"/>
  <c r="I154" i="24"/>
  <c r="K154" i="24" s="1"/>
  <c r="L154" i="24" s="1"/>
  <c r="P154" i="24" s="1"/>
  <c r="D154" i="24"/>
  <c r="F154" i="24" s="1"/>
  <c r="G154" i="24" s="1"/>
  <c r="I153" i="24"/>
  <c r="K153" i="24" s="1"/>
  <c r="L153" i="24" s="1"/>
  <c r="P153" i="24" s="1"/>
  <c r="D153" i="24"/>
  <c r="F153" i="24" s="1"/>
  <c r="G153" i="24" s="1"/>
  <c r="M153" i="24" s="1"/>
  <c r="N153" i="24" s="1"/>
  <c r="B153" i="24"/>
  <c r="B154" i="24" s="1"/>
  <c r="B155" i="24" s="1"/>
  <c r="B156" i="24" s="1"/>
  <c r="B157" i="24" s="1"/>
  <c r="B158" i="24" s="1"/>
  <c r="B159" i="24" s="1"/>
  <c r="B160" i="24" s="1"/>
  <c r="B161" i="24" s="1"/>
  <c r="B162" i="24" s="1"/>
  <c r="B163" i="24" s="1"/>
  <c r="B164" i="24" s="1"/>
  <c r="B165" i="24" s="1"/>
  <c r="B166" i="24" s="1"/>
  <c r="B167" i="24" s="1"/>
  <c r="B168" i="24" s="1"/>
  <c r="B169" i="24" s="1"/>
  <c r="B170" i="24" s="1"/>
  <c r="B171" i="24" s="1"/>
  <c r="B172" i="24" s="1"/>
  <c r="B173" i="24" s="1"/>
  <c r="B174" i="24" s="1"/>
  <c r="B175" i="24" s="1"/>
  <c r="B176" i="24" s="1"/>
  <c r="B177" i="24" s="1"/>
  <c r="B178" i="24" s="1"/>
  <c r="B179" i="24" s="1"/>
  <c r="B180" i="24" s="1"/>
  <c r="B181" i="24" s="1"/>
  <c r="B182" i="24" s="1"/>
  <c r="B183" i="24" s="1"/>
  <c r="I152" i="24"/>
  <c r="K152" i="24" s="1"/>
  <c r="L152" i="24" s="1"/>
  <c r="P152" i="24" s="1"/>
  <c r="F152" i="24"/>
  <c r="G152" i="24" s="1"/>
  <c r="D152" i="24"/>
  <c r="D183" i="25"/>
  <c r="F183" i="25" s="1"/>
  <c r="F182" i="25"/>
  <c r="I182" i="25" s="1"/>
  <c r="O182" i="25" s="1"/>
  <c r="D182" i="25"/>
  <c r="A182" i="25"/>
  <c r="A183" i="25" s="1"/>
  <c r="F181" i="25"/>
  <c r="I181" i="25" s="1"/>
  <c r="O181" i="25" s="1"/>
  <c r="D181" i="25"/>
  <c r="D180" i="25"/>
  <c r="F180" i="25" s="1"/>
  <c r="D179" i="25"/>
  <c r="F179" i="25" s="1"/>
  <c r="D178" i="25"/>
  <c r="F178" i="25" s="1"/>
  <c r="F177" i="25"/>
  <c r="I177" i="25" s="1"/>
  <c r="O177" i="25" s="1"/>
  <c r="D177" i="25"/>
  <c r="D176" i="25"/>
  <c r="F176" i="25" s="1"/>
  <c r="D175" i="25"/>
  <c r="F175" i="25" s="1"/>
  <c r="D174" i="25"/>
  <c r="F174" i="25" s="1"/>
  <c r="F173" i="25"/>
  <c r="I173" i="25" s="1"/>
  <c r="O173" i="25" s="1"/>
  <c r="D173" i="25"/>
  <c r="D172" i="25"/>
  <c r="F172" i="25" s="1"/>
  <c r="D171" i="25"/>
  <c r="F171" i="25" s="1"/>
  <c r="D170" i="25"/>
  <c r="F170" i="25" s="1"/>
  <c r="F169" i="25"/>
  <c r="I169" i="25" s="1"/>
  <c r="O169" i="25" s="1"/>
  <c r="D169" i="25"/>
  <c r="D168" i="25"/>
  <c r="F168" i="25" s="1"/>
  <c r="D167" i="25"/>
  <c r="F167" i="25" s="1"/>
  <c r="D166" i="25"/>
  <c r="F166" i="25" s="1"/>
  <c r="F165" i="25"/>
  <c r="I165" i="25" s="1"/>
  <c r="O165" i="25" s="1"/>
  <c r="D165" i="25"/>
  <c r="D164" i="25"/>
  <c r="F164" i="25" s="1"/>
  <c r="D163" i="25"/>
  <c r="F163" i="25" s="1"/>
  <c r="D162" i="25"/>
  <c r="F162" i="25" s="1"/>
  <c r="F161" i="25"/>
  <c r="I161" i="25" s="1"/>
  <c r="O161" i="25" s="1"/>
  <c r="D161" i="25"/>
  <c r="D160" i="25"/>
  <c r="F160" i="25" s="1"/>
  <c r="D159" i="25"/>
  <c r="F159" i="25" s="1"/>
  <c r="D158" i="25"/>
  <c r="F158" i="25" s="1"/>
  <c r="F157" i="25"/>
  <c r="I157" i="25" s="1"/>
  <c r="O157" i="25" s="1"/>
  <c r="D157" i="25"/>
  <c r="D156" i="25"/>
  <c r="F156" i="25" s="1"/>
  <c r="D155" i="25"/>
  <c r="F155" i="25" s="1"/>
  <c r="D154" i="25"/>
  <c r="F154" i="25" s="1"/>
  <c r="F153" i="25"/>
  <c r="I153" i="25" s="1"/>
  <c r="O153" i="25" s="1"/>
  <c r="D153" i="25"/>
  <c r="B153" i="25"/>
  <c r="B154" i="25" s="1"/>
  <c r="B155" i="25" s="1"/>
  <c r="B156" i="25" s="1"/>
  <c r="B157" i="25" s="1"/>
  <c r="B158" i="25" s="1"/>
  <c r="B159" i="25" s="1"/>
  <c r="B160" i="25" s="1"/>
  <c r="B161" i="25" s="1"/>
  <c r="B162" i="25" s="1"/>
  <c r="B163" i="25" s="1"/>
  <c r="B164" i="25" s="1"/>
  <c r="B165" i="25" s="1"/>
  <c r="B166" i="25" s="1"/>
  <c r="B167" i="25" s="1"/>
  <c r="B168" i="25" s="1"/>
  <c r="B169" i="25" s="1"/>
  <c r="B170" i="25" s="1"/>
  <c r="B171" i="25" s="1"/>
  <c r="B172" i="25" s="1"/>
  <c r="B173" i="25" s="1"/>
  <c r="B174" i="25" s="1"/>
  <c r="B175" i="25" s="1"/>
  <c r="B176" i="25" s="1"/>
  <c r="B177" i="25" s="1"/>
  <c r="B178" i="25" s="1"/>
  <c r="B179" i="25" s="1"/>
  <c r="B180" i="25" s="1"/>
  <c r="B181" i="25" s="1"/>
  <c r="B182" i="25" s="1"/>
  <c r="B183" i="25" s="1"/>
  <c r="F152" i="25"/>
  <c r="I152" i="25" s="1"/>
  <c r="O152" i="25" s="1"/>
  <c r="D152" i="25"/>
  <c r="J187" i="14"/>
  <c r="N187" i="14" s="1"/>
  <c r="G187" i="14"/>
  <c r="D187" i="14"/>
  <c r="J186" i="14"/>
  <c r="N186" i="14" s="1"/>
  <c r="G186" i="14"/>
  <c r="D186" i="14"/>
  <c r="A186" i="14"/>
  <c r="A187" i="14" s="1"/>
  <c r="J185" i="14"/>
  <c r="N185" i="14" s="1"/>
  <c r="R185" i="14" s="1"/>
  <c r="G185" i="14"/>
  <c r="D185" i="14"/>
  <c r="N184" i="14"/>
  <c r="R184" i="14" s="1"/>
  <c r="J184" i="14"/>
  <c r="G184" i="14"/>
  <c r="D184" i="14"/>
  <c r="J183" i="14"/>
  <c r="N183" i="14" s="1"/>
  <c r="R183" i="14" s="1"/>
  <c r="G183" i="14"/>
  <c r="D183" i="14"/>
  <c r="H183" i="14" s="1"/>
  <c r="J182" i="14"/>
  <c r="N182" i="14" s="1"/>
  <c r="R182" i="14" s="1"/>
  <c r="G182" i="14"/>
  <c r="D182" i="14"/>
  <c r="N181" i="14"/>
  <c r="R181" i="14" s="1"/>
  <c r="J181" i="14"/>
  <c r="G181" i="14"/>
  <c r="D181" i="14"/>
  <c r="J180" i="14"/>
  <c r="N180" i="14" s="1"/>
  <c r="R180" i="14" s="1"/>
  <c r="G180" i="14"/>
  <c r="D180" i="14"/>
  <c r="H180" i="14" s="1"/>
  <c r="J179" i="14"/>
  <c r="N179" i="14" s="1"/>
  <c r="R179" i="14" s="1"/>
  <c r="G179" i="14"/>
  <c r="D179" i="14"/>
  <c r="N178" i="14"/>
  <c r="R178" i="14" s="1"/>
  <c r="J178" i="14"/>
  <c r="G178" i="14"/>
  <c r="D178" i="14"/>
  <c r="J177" i="14"/>
  <c r="N177" i="14" s="1"/>
  <c r="R177" i="14" s="1"/>
  <c r="G177" i="14"/>
  <c r="D177" i="14"/>
  <c r="H177" i="14" s="1"/>
  <c r="J176" i="14"/>
  <c r="N176" i="14" s="1"/>
  <c r="R176" i="14" s="1"/>
  <c r="G176" i="14"/>
  <c r="D176" i="14"/>
  <c r="N175" i="14"/>
  <c r="R175" i="14" s="1"/>
  <c r="J175" i="14"/>
  <c r="G175" i="14"/>
  <c r="D175" i="14"/>
  <c r="H175" i="14" s="1"/>
  <c r="J174" i="14"/>
  <c r="N174" i="14" s="1"/>
  <c r="R174" i="14" s="1"/>
  <c r="G174" i="14"/>
  <c r="D174" i="14"/>
  <c r="H174" i="14" s="1"/>
  <c r="J173" i="14"/>
  <c r="N173" i="14" s="1"/>
  <c r="R173" i="14" s="1"/>
  <c r="G173" i="14"/>
  <c r="D173" i="14"/>
  <c r="N172" i="14"/>
  <c r="R172" i="14" s="1"/>
  <c r="J172" i="14"/>
  <c r="G172" i="14"/>
  <c r="D172" i="14"/>
  <c r="H172" i="14" s="1"/>
  <c r="J171" i="14"/>
  <c r="N171" i="14" s="1"/>
  <c r="R171" i="14" s="1"/>
  <c r="G171" i="14"/>
  <c r="D171" i="14"/>
  <c r="H171" i="14" s="1"/>
  <c r="J170" i="14"/>
  <c r="N170" i="14" s="1"/>
  <c r="R170" i="14" s="1"/>
  <c r="G170" i="14"/>
  <c r="D170" i="14"/>
  <c r="N169" i="14"/>
  <c r="R169" i="14" s="1"/>
  <c r="J169" i="14"/>
  <c r="G169" i="14"/>
  <c r="D169" i="14"/>
  <c r="H169" i="14" s="1"/>
  <c r="J168" i="14"/>
  <c r="N168" i="14" s="1"/>
  <c r="R168" i="14" s="1"/>
  <c r="G168" i="14"/>
  <c r="D168" i="14"/>
  <c r="H168" i="14" s="1"/>
  <c r="J167" i="14"/>
  <c r="N167" i="14" s="1"/>
  <c r="R167" i="14" s="1"/>
  <c r="G167" i="14"/>
  <c r="D167" i="14"/>
  <c r="N166" i="14"/>
  <c r="R166" i="14" s="1"/>
  <c r="J166" i="14"/>
  <c r="G166" i="14"/>
  <c r="D166" i="14"/>
  <c r="H166" i="14" s="1"/>
  <c r="J165" i="14"/>
  <c r="N165" i="14" s="1"/>
  <c r="R165" i="14" s="1"/>
  <c r="G165" i="14"/>
  <c r="D165" i="14"/>
  <c r="H165" i="14" s="1"/>
  <c r="J164" i="14"/>
  <c r="N164" i="14" s="1"/>
  <c r="R164" i="14" s="1"/>
  <c r="G164" i="14"/>
  <c r="D164" i="14"/>
  <c r="N163" i="14"/>
  <c r="R163" i="14" s="1"/>
  <c r="J163" i="14"/>
  <c r="G163" i="14"/>
  <c r="D163" i="14"/>
  <c r="H163" i="14" s="1"/>
  <c r="J162" i="14"/>
  <c r="N162" i="14" s="1"/>
  <c r="R162" i="14" s="1"/>
  <c r="G162" i="14"/>
  <c r="D162" i="14"/>
  <c r="H162" i="14" s="1"/>
  <c r="J161" i="14"/>
  <c r="N161" i="14" s="1"/>
  <c r="R161" i="14" s="1"/>
  <c r="G161" i="14"/>
  <c r="D161" i="14"/>
  <c r="N160" i="14"/>
  <c r="R160" i="14" s="1"/>
  <c r="J160" i="14"/>
  <c r="G160" i="14"/>
  <c r="D160" i="14"/>
  <c r="H160" i="14" s="1"/>
  <c r="J159" i="14"/>
  <c r="N159" i="14" s="1"/>
  <c r="R159" i="14" s="1"/>
  <c r="G159" i="14"/>
  <c r="D159" i="14"/>
  <c r="H159" i="14" s="1"/>
  <c r="O159" i="14" s="1"/>
  <c r="P159" i="14" s="1"/>
  <c r="N158" i="14"/>
  <c r="R158" i="14" s="1"/>
  <c r="J158" i="14"/>
  <c r="G158" i="14"/>
  <c r="D158" i="14"/>
  <c r="H158" i="14" s="1"/>
  <c r="N157" i="14"/>
  <c r="R157" i="14" s="1"/>
  <c r="J157" i="14"/>
  <c r="G157" i="14"/>
  <c r="D157" i="14"/>
  <c r="H157" i="14" s="1"/>
  <c r="O157" i="14" s="1"/>
  <c r="P157" i="14" s="1"/>
  <c r="B157" i="14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1" i="14" s="1"/>
  <c r="B172" i="14" s="1"/>
  <c r="B173" i="14" s="1"/>
  <c r="B174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J156" i="14"/>
  <c r="N156" i="14" s="1"/>
  <c r="R156" i="14" s="1"/>
  <c r="G156" i="14"/>
  <c r="D156" i="14"/>
  <c r="H156" i="14" s="1"/>
  <c r="O156" i="14" s="1"/>
  <c r="P156" i="14" s="1"/>
  <c r="P237" i="31"/>
  <c r="J252" i="31"/>
  <c r="F252" i="31"/>
  <c r="J251" i="31"/>
  <c r="F251" i="31"/>
  <c r="J250" i="31"/>
  <c r="F250" i="31"/>
  <c r="J249" i="31"/>
  <c r="F249" i="31"/>
  <c r="J248" i="31"/>
  <c r="F248" i="31"/>
  <c r="O247" i="31"/>
  <c r="P247" i="31" s="1"/>
  <c r="N247" i="31"/>
  <c r="J247" i="31"/>
  <c r="F247" i="31"/>
  <c r="O246" i="31"/>
  <c r="P246" i="31" s="1"/>
  <c r="N246" i="31"/>
  <c r="J246" i="31"/>
  <c r="F246" i="31"/>
  <c r="O245" i="31"/>
  <c r="P245" i="31" s="1"/>
  <c r="N245" i="31"/>
  <c r="J245" i="31"/>
  <c r="F245" i="31"/>
  <c r="J244" i="31"/>
  <c r="F244" i="31"/>
  <c r="J243" i="31"/>
  <c r="F243" i="31"/>
  <c r="J242" i="31"/>
  <c r="F242" i="31"/>
  <c r="J241" i="31"/>
  <c r="F241" i="31"/>
  <c r="J240" i="31"/>
  <c r="F240" i="31"/>
  <c r="J239" i="31"/>
  <c r="F239" i="31"/>
  <c r="J238" i="31"/>
  <c r="F238" i="31"/>
  <c r="J237" i="31"/>
  <c r="F237" i="31"/>
  <c r="J236" i="31"/>
  <c r="H236" i="31"/>
  <c r="F236" i="31"/>
  <c r="J235" i="31"/>
  <c r="F235" i="31"/>
  <c r="J234" i="31"/>
  <c r="F234" i="31"/>
  <c r="J233" i="31"/>
  <c r="F233" i="31"/>
  <c r="O232" i="31"/>
  <c r="P232" i="31" s="1"/>
  <c r="J232" i="31"/>
  <c r="F232" i="31"/>
  <c r="J231" i="31"/>
  <c r="F231" i="31"/>
  <c r="J230" i="31"/>
  <c r="F230" i="31"/>
  <c r="J229" i="31"/>
  <c r="F229" i="31"/>
  <c r="J228" i="31"/>
  <c r="F228" i="31"/>
  <c r="J227" i="31"/>
  <c r="F227" i="31"/>
  <c r="J226" i="31"/>
  <c r="F226" i="31"/>
  <c r="J225" i="31"/>
  <c r="F225" i="31"/>
  <c r="J224" i="31"/>
  <c r="F224" i="31"/>
  <c r="C224" i="31"/>
  <c r="J223" i="31"/>
  <c r="K223" i="31" s="1"/>
  <c r="D223" i="31"/>
  <c r="F223" i="31" s="1"/>
  <c r="G223" i="31" s="1"/>
  <c r="J222" i="31"/>
  <c r="K222" i="31" s="1"/>
  <c r="F222" i="31"/>
  <c r="G222" i="31" s="1"/>
  <c r="J221" i="31"/>
  <c r="K221" i="31" s="1"/>
  <c r="G221" i="31"/>
  <c r="F221" i="31"/>
  <c r="H75" i="19"/>
  <c r="I85" i="19"/>
  <c r="I75" i="19"/>
  <c r="J75" i="19" s="1"/>
  <c r="H45" i="19"/>
  <c r="H46" i="19" s="1"/>
  <c r="H47" i="19" s="1"/>
  <c r="H48" i="19" s="1"/>
  <c r="H49" i="19" s="1"/>
  <c r="H50" i="19" s="1"/>
  <c r="H51" i="19" s="1"/>
  <c r="H52" i="19" s="1"/>
  <c r="H53" i="19" s="1"/>
  <c r="H54" i="19" s="1"/>
  <c r="H55" i="19" s="1"/>
  <c r="H56" i="19" s="1"/>
  <c r="H57" i="19" s="1"/>
  <c r="H58" i="19" s="1"/>
  <c r="H59" i="19" s="1"/>
  <c r="H60" i="19" s="1"/>
  <c r="H61" i="19" s="1"/>
  <c r="H62" i="19" s="1"/>
  <c r="H63" i="19" s="1"/>
  <c r="H64" i="19" s="1"/>
  <c r="H65" i="19" s="1"/>
  <c r="H66" i="19" s="1"/>
  <c r="H67" i="19" s="1"/>
  <c r="H68" i="19" s="1"/>
  <c r="H69" i="19" s="1"/>
  <c r="H70" i="19" s="1"/>
  <c r="H71" i="19" s="1"/>
  <c r="I155" i="25" l="1"/>
  <c r="O155" i="25" s="1"/>
  <c r="G155" i="25"/>
  <c r="M155" i="25" s="1"/>
  <c r="I174" i="25"/>
  <c r="O174" i="25" s="1"/>
  <c r="G174" i="25"/>
  <c r="M174" i="25" s="1"/>
  <c r="I172" i="25"/>
  <c r="O172" i="25" s="1"/>
  <c r="G172" i="25"/>
  <c r="M172" i="25" s="1"/>
  <c r="I175" i="25"/>
  <c r="O175" i="25" s="1"/>
  <c r="G175" i="25"/>
  <c r="M175" i="25" s="1"/>
  <c r="I166" i="25"/>
  <c r="O166" i="25" s="1"/>
  <c r="G166" i="25"/>
  <c r="M166" i="25" s="1"/>
  <c r="I176" i="25"/>
  <c r="O176" i="25" s="1"/>
  <c r="G176" i="25"/>
  <c r="M176" i="25" s="1"/>
  <c r="I167" i="25"/>
  <c r="O167" i="25" s="1"/>
  <c r="G167" i="25"/>
  <c r="M167" i="25" s="1"/>
  <c r="I154" i="25"/>
  <c r="O154" i="25" s="1"/>
  <c r="G154" i="25"/>
  <c r="M154" i="25" s="1"/>
  <c r="P235" i="31"/>
  <c r="P238" i="31"/>
  <c r="P234" i="31"/>
  <c r="P236" i="31"/>
  <c r="I158" i="25"/>
  <c r="O158" i="25" s="1"/>
  <c r="G158" i="25"/>
  <c r="M158" i="25" s="1"/>
  <c r="I168" i="25"/>
  <c r="O168" i="25" s="1"/>
  <c r="G168" i="25"/>
  <c r="M168" i="25" s="1"/>
  <c r="I162" i="25"/>
  <c r="O162" i="25" s="1"/>
  <c r="G162" i="25"/>
  <c r="M162" i="25" s="1"/>
  <c r="I159" i="25"/>
  <c r="O159" i="25" s="1"/>
  <c r="G159" i="25"/>
  <c r="M159" i="25" s="1"/>
  <c r="I160" i="25"/>
  <c r="O160" i="25" s="1"/>
  <c r="G160" i="25"/>
  <c r="M160" i="25" s="1"/>
  <c r="I179" i="25"/>
  <c r="O179" i="25" s="1"/>
  <c r="G179" i="25"/>
  <c r="M179" i="25" s="1"/>
  <c r="I163" i="25"/>
  <c r="O163" i="25" s="1"/>
  <c r="G163" i="25"/>
  <c r="M163" i="25" s="1"/>
  <c r="I156" i="25"/>
  <c r="O156" i="25" s="1"/>
  <c r="G156" i="25"/>
  <c r="M156" i="25" s="1"/>
  <c r="R187" i="14"/>
  <c r="I170" i="25"/>
  <c r="O170" i="25" s="1"/>
  <c r="G170" i="25"/>
  <c r="M170" i="25" s="1"/>
  <c r="I180" i="25"/>
  <c r="O180" i="25" s="1"/>
  <c r="G180" i="25"/>
  <c r="M180" i="25" s="1"/>
  <c r="I164" i="25"/>
  <c r="O164" i="25" s="1"/>
  <c r="G164" i="25"/>
  <c r="M164" i="25" s="1"/>
  <c r="I178" i="25"/>
  <c r="O178" i="25" s="1"/>
  <c r="G178" i="25"/>
  <c r="M178" i="25" s="1"/>
  <c r="R188" i="14"/>
  <c r="I171" i="25"/>
  <c r="O171" i="25" s="1"/>
  <c r="G171" i="25"/>
  <c r="M171" i="25" s="1"/>
  <c r="O174" i="14"/>
  <c r="P174" i="14" s="1"/>
  <c r="O177" i="14"/>
  <c r="P177" i="14" s="1"/>
  <c r="O180" i="14"/>
  <c r="P180" i="14" s="1"/>
  <c r="O183" i="14"/>
  <c r="P183" i="14" s="1"/>
  <c r="M156" i="24"/>
  <c r="N156" i="24" s="1"/>
  <c r="M160" i="24"/>
  <c r="N160" i="24" s="1"/>
  <c r="H186" i="14"/>
  <c r="O186" i="14" s="1"/>
  <c r="P186" i="14" s="1"/>
  <c r="J207" i="27"/>
  <c r="N207" i="27" s="1"/>
  <c r="Y207" i="27" s="1"/>
  <c r="I212" i="27"/>
  <c r="M212" i="27" s="1"/>
  <c r="X212" i="27" s="1"/>
  <c r="K224" i="27"/>
  <c r="O224" i="27" s="1"/>
  <c r="Z224" i="27" s="1"/>
  <c r="O184" i="25"/>
  <c r="M164" i="24"/>
  <c r="N164" i="24" s="1"/>
  <c r="G177" i="25"/>
  <c r="M177" i="25" s="1"/>
  <c r="O175" i="14"/>
  <c r="P175" i="14" s="1"/>
  <c r="H178" i="14"/>
  <c r="O178" i="14" s="1"/>
  <c r="P178" i="14" s="1"/>
  <c r="H181" i="14"/>
  <c r="O181" i="14" s="1"/>
  <c r="P181" i="14" s="1"/>
  <c r="H184" i="14"/>
  <c r="O184" i="14" s="1"/>
  <c r="P184" i="14" s="1"/>
  <c r="J208" i="27"/>
  <c r="N208" i="27" s="1"/>
  <c r="Y208" i="27" s="1"/>
  <c r="K219" i="27"/>
  <c r="O219" i="27" s="1"/>
  <c r="Z219" i="27" s="1"/>
  <c r="X225" i="27"/>
  <c r="Z236" i="27"/>
  <c r="H187" i="14"/>
  <c r="O187" i="14" s="1"/>
  <c r="P187" i="14" s="1"/>
  <c r="M170" i="24"/>
  <c r="N170" i="24" s="1"/>
  <c r="M183" i="24"/>
  <c r="N183" i="24" s="1"/>
  <c r="K220" i="27"/>
  <c r="O220" i="27" s="1"/>
  <c r="Z220" i="27" s="1"/>
  <c r="M163" i="24"/>
  <c r="N163" i="24" s="1"/>
  <c r="P163" i="24"/>
  <c r="M158" i="24"/>
  <c r="N158" i="24" s="1"/>
  <c r="M175" i="24"/>
  <c r="N175" i="24" s="1"/>
  <c r="P183" i="24"/>
  <c r="Z231" i="27"/>
  <c r="I236" i="27"/>
  <c r="M236" i="27" s="1"/>
  <c r="X236" i="27" s="1"/>
  <c r="G152" i="25"/>
  <c r="M152" i="25" s="1"/>
  <c r="G169" i="25"/>
  <c r="M169" i="25" s="1"/>
  <c r="O158" i="14"/>
  <c r="P158" i="14" s="1"/>
  <c r="M162" i="24"/>
  <c r="N162" i="24" s="1"/>
  <c r="P162" i="24"/>
  <c r="P184" i="24" s="1"/>
  <c r="X232" i="27"/>
  <c r="G181" i="25"/>
  <c r="M181" i="25" s="1"/>
  <c r="H161" i="14"/>
  <c r="H164" i="14"/>
  <c r="H167" i="14"/>
  <c r="H170" i="14"/>
  <c r="O170" i="14" s="1"/>
  <c r="P170" i="14" s="1"/>
  <c r="H173" i="14"/>
  <c r="O173" i="14" s="1"/>
  <c r="P173" i="14" s="1"/>
  <c r="H176" i="14"/>
  <c r="O176" i="14" s="1"/>
  <c r="P176" i="14" s="1"/>
  <c r="H179" i="14"/>
  <c r="O179" i="14" s="1"/>
  <c r="P179" i="14" s="1"/>
  <c r="H182" i="14"/>
  <c r="O182" i="14" s="1"/>
  <c r="P182" i="14" s="1"/>
  <c r="H185" i="14"/>
  <c r="O185" i="14" s="1"/>
  <c r="P185" i="14" s="1"/>
  <c r="H232" i="27"/>
  <c r="L232" i="27" s="1"/>
  <c r="W232" i="27" s="1"/>
  <c r="R186" i="14"/>
  <c r="G153" i="25"/>
  <c r="M153" i="25" s="1"/>
  <c r="G157" i="25"/>
  <c r="M157" i="25" s="1"/>
  <c r="G161" i="25"/>
  <c r="M161" i="25" s="1"/>
  <c r="G165" i="25"/>
  <c r="M165" i="25" s="1"/>
  <c r="G173" i="25"/>
  <c r="M173" i="25" s="1"/>
  <c r="M161" i="24"/>
  <c r="N161" i="24" s="1"/>
  <c r="M152" i="24"/>
  <c r="N152" i="24" s="1"/>
  <c r="K211" i="27"/>
  <c r="O211" i="27" s="1"/>
  <c r="Z211" i="27" s="1"/>
  <c r="K226" i="27"/>
  <c r="O226" i="27" s="1"/>
  <c r="Z226" i="27" s="1"/>
  <c r="J209" i="27"/>
  <c r="N209" i="27" s="1"/>
  <c r="Y209" i="27" s="1"/>
  <c r="J225" i="27"/>
  <c r="N225" i="27" s="1"/>
  <c r="Y225" i="27" s="1"/>
  <c r="K230" i="27"/>
  <c r="O230" i="27" s="1"/>
  <c r="Z230" i="27" s="1"/>
  <c r="K212" i="27"/>
  <c r="O212" i="27" s="1"/>
  <c r="Z212" i="27" s="1"/>
  <c r="J213" i="27"/>
  <c r="N213" i="27" s="1"/>
  <c r="Y213" i="27" s="1"/>
  <c r="I217" i="27"/>
  <c r="M217" i="27" s="1"/>
  <c r="X217" i="27" s="1"/>
  <c r="H219" i="27"/>
  <c r="L219" i="27" s="1"/>
  <c r="W219" i="27" s="1"/>
  <c r="J221" i="27"/>
  <c r="N221" i="27" s="1"/>
  <c r="Y221" i="27" s="1"/>
  <c r="J223" i="27"/>
  <c r="N223" i="27" s="1"/>
  <c r="Y223" i="27" s="1"/>
  <c r="H224" i="27"/>
  <c r="L224" i="27" s="1"/>
  <c r="W224" i="27" s="1"/>
  <c r="J229" i="27"/>
  <c r="N229" i="27" s="1"/>
  <c r="Y229" i="27" s="1"/>
  <c r="J231" i="27"/>
  <c r="N231" i="27" s="1"/>
  <c r="Y231" i="27" s="1"/>
  <c r="K232" i="27"/>
  <c r="O232" i="27" s="1"/>
  <c r="Z232" i="27" s="1"/>
  <c r="J233" i="27"/>
  <c r="N233" i="27" s="1"/>
  <c r="Y233" i="27" s="1"/>
  <c r="I206" i="27"/>
  <c r="M206" i="27" s="1"/>
  <c r="X206" i="27" s="1"/>
  <c r="K210" i="27"/>
  <c r="O210" i="27" s="1"/>
  <c r="Z210" i="27" s="1"/>
  <c r="K216" i="27"/>
  <c r="O216" i="27" s="1"/>
  <c r="Z216" i="27" s="1"/>
  <c r="P216" i="27"/>
  <c r="J217" i="27"/>
  <c r="N217" i="27" s="1"/>
  <c r="Y217" i="27" s="1"/>
  <c r="P219" i="27"/>
  <c r="I220" i="27"/>
  <c r="M220" i="27" s="1"/>
  <c r="X220" i="27" s="1"/>
  <c r="I228" i="27"/>
  <c r="M228" i="27" s="1"/>
  <c r="X228" i="27" s="1"/>
  <c r="H205" i="27"/>
  <c r="L205" i="27" s="1"/>
  <c r="W205" i="27" s="1"/>
  <c r="P223" i="27"/>
  <c r="K234" i="27"/>
  <c r="O234" i="27" s="1"/>
  <c r="Z234" i="27" s="1"/>
  <c r="I205" i="27"/>
  <c r="M205" i="27" s="1"/>
  <c r="X205" i="27" s="1"/>
  <c r="I210" i="27"/>
  <c r="M210" i="27" s="1"/>
  <c r="X210" i="27" s="1"/>
  <c r="H215" i="27"/>
  <c r="L215" i="27" s="1"/>
  <c r="W215" i="27" s="1"/>
  <c r="H216" i="27"/>
  <c r="L216" i="27" s="1"/>
  <c r="W216" i="27" s="1"/>
  <c r="K218" i="27"/>
  <c r="O218" i="27" s="1"/>
  <c r="Z218" i="27" s="1"/>
  <c r="H223" i="27"/>
  <c r="L223" i="27" s="1"/>
  <c r="W223" i="27" s="1"/>
  <c r="P224" i="27"/>
  <c r="P232" i="27"/>
  <c r="J205" i="27"/>
  <c r="N205" i="27" s="1"/>
  <c r="Y205" i="27" s="1"/>
  <c r="K205" i="27"/>
  <c r="O205" i="27" s="1"/>
  <c r="Z205" i="27" s="1"/>
  <c r="H206" i="27"/>
  <c r="L206" i="27" s="1"/>
  <c r="W206" i="27" s="1"/>
  <c r="I208" i="27"/>
  <c r="M208" i="27" s="1"/>
  <c r="X208" i="27" s="1"/>
  <c r="P209" i="27"/>
  <c r="Q209" i="27" s="1"/>
  <c r="R209" i="27" s="1"/>
  <c r="P212" i="27"/>
  <c r="I216" i="27"/>
  <c r="M216" i="27" s="1"/>
  <c r="X216" i="27" s="1"/>
  <c r="H220" i="27"/>
  <c r="L220" i="27" s="1"/>
  <c r="W220" i="27" s="1"/>
  <c r="P220" i="27"/>
  <c r="K223" i="27"/>
  <c r="O223" i="27" s="1"/>
  <c r="Z223" i="27" s="1"/>
  <c r="H228" i="27"/>
  <c r="L228" i="27" s="1"/>
  <c r="W228" i="27" s="1"/>
  <c r="P228" i="27"/>
  <c r="I231" i="27"/>
  <c r="M231" i="27" s="1"/>
  <c r="X231" i="27" s="1"/>
  <c r="H236" i="27"/>
  <c r="L236" i="27" s="1"/>
  <c r="W236" i="27" s="1"/>
  <c r="P236" i="27"/>
  <c r="P248" i="31"/>
  <c r="P250" i="31" s="1"/>
  <c r="K224" i="31"/>
  <c r="I222" i="27"/>
  <c r="M222" i="27" s="1"/>
  <c r="X222" i="27" s="1"/>
  <c r="P222" i="27"/>
  <c r="H222" i="27"/>
  <c r="L222" i="27" s="1"/>
  <c r="W222" i="27" s="1"/>
  <c r="J222" i="27"/>
  <c r="N222" i="27" s="1"/>
  <c r="Y222" i="27" s="1"/>
  <c r="K208" i="27"/>
  <c r="O208" i="27" s="1"/>
  <c r="Z208" i="27" s="1"/>
  <c r="P208" i="27"/>
  <c r="J210" i="27"/>
  <c r="N210" i="27" s="1"/>
  <c r="Y210" i="27" s="1"/>
  <c r="P210" i="27"/>
  <c r="I214" i="27"/>
  <c r="M214" i="27" s="1"/>
  <c r="X214" i="27" s="1"/>
  <c r="P214" i="27"/>
  <c r="H214" i="27"/>
  <c r="L214" i="27" s="1"/>
  <c r="W214" i="27" s="1"/>
  <c r="J214" i="27"/>
  <c r="N214" i="27" s="1"/>
  <c r="Y214" i="27" s="1"/>
  <c r="K215" i="27"/>
  <c r="O215" i="27" s="1"/>
  <c r="Z215" i="27" s="1"/>
  <c r="J234" i="27"/>
  <c r="N234" i="27" s="1"/>
  <c r="Y234" i="27" s="1"/>
  <c r="I235" i="27"/>
  <c r="M235" i="27" s="1"/>
  <c r="X235" i="27" s="1"/>
  <c r="K235" i="27"/>
  <c r="O235" i="27" s="1"/>
  <c r="Z235" i="27" s="1"/>
  <c r="J206" i="27"/>
  <c r="N206" i="27" s="1"/>
  <c r="P206" i="27"/>
  <c r="P207" i="27"/>
  <c r="H207" i="27"/>
  <c r="L207" i="27" s="1"/>
  <c r="W207" i="27" s="1"/>
  <c r="K207" i="27"/>
  <c r="O207" i="27" s="1"/>
  <c r="Z207" i="27" s="1"/>
  <c r="H211" i="27"/>
  <c r="L211" i="27" s="1"/>
  <c r="W211" i="27" s="1"/>
  <c r="K222" i="27"/>
  <c r="O222" i="27" s="1"/>
  <c r="Z222" i="27" s="1"/>
  <c r="J226" i="27"/>
  <c r="N226" i="27" s="1"/>
  <c r="Y226" i="27" s="1"/>
  <c r="I227" i="27"/>
  <c r="M227" i="27" s="1"/>
  <c r="X227" i="27" s="1"/>
  <c r="K227" i="27"/>
  <c r="O227" i="27" s="1"/>
  <c r="Z227" i="27" s="1"/>
  <c r="P229" i="27"/>
  <c r="H229" i="27"/>
  <c r="L229" i="27" s="1"/>
  <c r="W229" i="27" s="1"/>
  <c r="K229" i="27"/>
  <c r="O229" i="27" s="1"/>
  <c r="Z229" i="27" s="1"/>
  <c r="I229" i="27"/>
  <c r="M229" i="27" s="1"/>
  <c r="X229" i="27" s="1"/>
  <c r="H235" i="27"/>
  <c r="L235" i="27" s="1"/>
  <c r="W235" i="27" s="1"/>
  <c r="H208" i="27"/>
  <c r="L208" i="27" s="1"/>
  <c r="H210" i="27"/>
  <c r="L210" i="27" s="1"/>
  <c r="W210" i="27" s="1"/>
  <c r="P213" i="27"/>
  <c r="H213" i="27"/>
  <c r="L213" i="27" s="1"/>
  <c r="W213" i="27" s="1"/>
  <c r="K213" i="27"/>
  <c r="O213" i="27" s="1"/>
  <c r="Z213" i="27" s="1"/>
  <c r="I213" i="27"/>
  <c r="M213" i="27" s="1"/>
  <c r="X213" i="27" s="1"/>
  <c r="K214" i="27"/>
  <c r="O214" i="27" s="1"/>
  <c r="Z214" i="27" s="1"/>
  <c r="J215" i="27"/>
  <c r="N215" i="27" s="1"/>
  <c r="Y215" i="27" s="1"/>
  <c r="J218" i="27"/>
  <c r="N218" i="27" s="1"/>
  <c r="Y218" i="27" s="1"/>
  <c r="P221" i="27"/>
  <c r="H221" i="27"/>
  <c r="L221" i="27" s="1"/>
  <c r="W221" i="27" s="1"/>
  <c r="K221" i="27"/>
  <c r="O221" i="27" s="1"/>
  <c r="Z221" i="27" s="1"/>
  <c r="I221" i="27"/>
  <c r="M221" i="27" s="1"/>
  <c r="X221" i="27" s="1"/>
  <c r="H227" i="27"/>
  <c r="L227" i="27" s="1"/>
  <c r="W227" i="27" s="1"/>
  <c r="I230" i="27"/>
  <c r="M230" i="27" s="1"/>
  <c r="X230" i="27" s="1"/>
  <c r="P230" i="27"/>
  <c r="H230" i="27"/>
  <c r="L230" i="27" s="1"/>
  <c r="W230" i="27" s="1"/>
  <c r="J230" i="27"/>
  <c r="N230" i="27" s="1"/>
  <c r="Y230" i="27" s="1"/>
  <c r="J211" i="27"/>
  <c r="N211" i="27" s="1"/>
  <c r="Y211" i="27" s="1"/>
  <c r="P217" i="27"/>
  <c r="H217" i="27"/>
  <c r="L217" i="27" s="1"/>
  <c r="W217" i="27" s="1"/>
  <c r="K217" i="27"/>
  <c r="O217" i="27" s="1"/>
  <c r="Z217" i="27" s="1"/>
  <c r="I218" i="27"/>
  <c r="M218" i="27" s="1"/>
  <c r="X218" i="27" s="1"/>
  <c r="P218" i="27"/>
  <c r="H218" i="27"/>
  <c r="L218" i="27" s="1"/>
  <c r="W218" i="27" s="1"/>
  <c r="J219" i="27"/>
  <c r="N219" i="27" s="1"/>
  <c r="Y219" i="27" s="1"/>
  <c r="P225" i="27"/>
  <c r="H225" i="27"/>
  <c r="L225" i="27" s="1"/>
  <c r="W225" i="27" s="1"/>
  <c r="K225" i="27"/>
  <c r="O225" i="27" s="1"/>
  <c r="Z225" i="27" s="1"/>
  <c r="I226" i="27"/>
  <c r="M226" i="27" s="1"/>
  <c r="X226" i="27" s="1"/>
  <c r="P226" i="27"/>
  <c r="H226" i="27"/>
  <c r="L226" i="27" s="1"/>
  <c r="W226" i="27" s="1"/>
  <c r="J227" i="27"/>
  <c r="N227" i="27" s="1"/>
  <c r="Y227" i="27" s="1"/>
  <c r="H231" i="27"/>
  <c r="L231" i="27" s="1"/>
  <c r="W231" i="27" s="1"/>
  <c r="P233" i="27"/>
  <c r="H233" i="27"/>
  <c r="L233" i="27" s="1"/>
  <c r="W233" i="27" s="1"/>
  <c r="K233" i="27"/>
  <c r="O233" i="27" s="1"/>
  <c r="Z233" i="27" s="1"/>
  <c r="I234" i="27"/>
  <c r="M234" i="27" s="1"/>
  <c r="X234" i="27" s="1"/>
  <c r="P234" i="27"/>
  <c r="H234" i="27"/>
  <c r="L234" i="27" s="1"/>
  <c r="W234" i="27" s="1"/>
  <c r="J235" i="27"/>
  <c r="N235" i="27" s="1"/>
  <c r="Y235" i="27" s="1"/>
  <c r="I211" i="27"/>
  <c r="M211" i="27" s="1"/>
  <c r="X211" i="27" s="1"/>
  <c r="J212" i="27"/>
  <c r="N212" i="27" s="1"/>
  <c r="I215" i="27"/>
  <c r="M215" i="27" s="1"/>
  <c r="J216" i="27"/>
  <c r="N216" i="27" s="1"/>
  <c r="Y216" i="27" s="1"/>
  <c r="I219" i="27"/>
  <c r="M219" i="27" s="1"/>
  <c r="J220" i="27"/>
  <c r="N220" i="27" s="1"/>
  <c r="Y220" i="27" s="1"/>
  <c r="I223" i="27"/>
  <c r="M223" i="27" s="1"/>
  <c r="J224" i="27"/>
  <c r="N224" i="27" s="1"/>
  <c r="Y224" i="27" s="1"/>
  <c r="J228" i="27"/>
  <c r="N228" i="27" s="1"/>
  <c r="Y228" i="27" s="1"/>
  <c r="J232" i="27"/>
  <c r="N232" i="27" s="1"/>
  <c r="J236" i="27"/>
  <c r="N236" i="27" s="1"/>
  <c r="M154" i="24"/>
  <c r="N154" i="24" s="1"/>
  <c r="M155" i="24"/>
  <c r="N155" i="24" s="1"/>
  <c r="M166" i="24"/>
  <c r="N166" i="24" s="1"/>
  <c r="M167" i="24"/>
  <c r="N167" i="24" s="1"/>
  <c r="M168" i="24"/>
  <c r="N168" i="24" s="1"/>
  <c r="M165" i="24"/>
  <c r="N165" i="24" s="1"/>
  <c r="M172" i="24"/>
  <c r="N172" i="24" s="1"/>
  <c r="M176" i="24"/>
  <c r="N176" i="24" s="1"/>
  <c r="M182" i="24"/>
  <c r="N182" i="24" s="1"/>
  <c r="M169" i="24"/>
  <c r="N169" i="24" s="1"/>
  <c r="M177" i="24"/>
  <c r="N177" i="24" s="1"/>
  <c r="M173" i="24"/>
  <c r="N173" i="24" s="1"/>
  <c r="M181" i="24"/>
  <c r="N181" i="24" s="1"/>
  <c r="J155" i="25"/>
  <c r="K155" i="25" s="1"/>
  <c r="J157" i="25"/>
  <c r="K157" i="25" s="1"/>
  <c r="H183" i="25"/>
  <c r="N183" i="25" s="1"/>
  <c r="G183" i="25"/>
  <c r="I183" i="25"/>
  <c r="O183" i="25" s="1"/>
  <c r="H152" i="25"/>
  <c r="H153" i="25"/>
  <c r="H154" i="25"/>
  <c r="H155" i="25"/>
  <c r="N155" i="25" s="1"/>
  <c r="H156" i="25"/>
  <c r="H157" i="25"/>
  <c r="N157" i="25" s="1"/>
  <c r="H158" i="25"/>
  <c r="H159" i="25"/>
  <c r="N159" i="25" s="1"/>
  <c r="H160" i="25"/>
  <c r="N160" i="25" s="1"/>
  <c r="H161" i="25"/>
  <c r="H162" i="25"/>
  <c r="H163" i="25"/>
  <c r="N163" i="25" s="1"/>
  <c r="H164" i="25"/>
  <c r="H165" i="25"/>
  <c r="H166" i="25"/>
  <c r="H167" i="25"/>
  <c r="N167" i="25" s="1"/>
  <c r="H168" i="25"/>
  <c r="N168" i="25" s="1"/>
  <c r="H169" i="25"/>
  <c r="H170" i="25"/>
  <c r="H171" i="25"/>
  <c r="H172" i="25"/>
  <c r="H173" i="25"/>
  <c r="N173" i="25" s="1"/>
  <c r="H174" i="25"/>
  <c r="H175" i="25"/>
  <c r="N175" i="25" s="1"/>
  <c r="H176" i="25"/>
  <c r="H177" i="25"/>
  <c r="H178" i="25"/>
  <c r="H179" i="25"/>
  <c r="H180" i="25"/>
  <c r="H181" i="25"/>
  <c r="G182" i="25"/>
  <c r="H182" i="25"/>
  <c r="N182" i="25" s="1"/>
  <c r="O160" i="14"/>
  <c r="P160" i="14" s="1"/>
  <c r="O161" i="14"/>
  <c r="P161" i="14" s="1"/>
  <c r="O162" i="14"/>
  <c r="P162" i="14" s="1"/>
  <c r="O163" i="14"/>
  <c r="P163" i="14" s="1"/>
  <c r="O164" i="14"/>
  <c r="P164" i="14" s="1"/>
  <c r="O165" i="14"/>
  <c r="P165" i="14" s="1"/>
  <c r="O166" i="14"/>
  <c r="P166" i="14" s="1"/>
  <c r="O167" i="14"/>
  <c r="P167" i="14" s="1"/>
  <c r="O168" i="14"/>
  <c r="P168" i="14" s="1"/>
  <c r="O169" i="14"/>
  <c r="P169" i="14" s="1"/>
  <c r="O171" i="14"/>
  <c r="P171" i="14" s="1"/>
  <c r="O172" i="14"/>
  <c r="P172" i="14" s="1"/>
  <c r="C225" i="31"/>
  <c r="C226" i="31" s="1"/>
  <c r="G224" i="31"/>
  <c r="J48" i="19"/>
  <c r="J76" i="19" s="1"/>
  <c r="Z237" i="27" l="1"/>
  <c r="M184" i="25"/>
  <c r="J182" i="25"/>
  <c r="K182" i="25" s="1"/>
  <c r="M182" i="25"/>
  <c r="J170" i="25"/>
  <c r="K170" i="25" s="1"/>
  <c r="N170" i="25"/>
  <c r="J158" i="25"/>
  <c r="K158" i="25" s="1"/>
  <c r="N158" i="25"/>
  <c r="J167" i="25"/>
  <c r="K167" i="25" s="1"/>
  <c r="Q223" i="27"/>
  <c r="R223" i="27" s="1"/>
  <c r="X223" i="27"/>
  <c r="J171" i="25"/>
  <c r="K171" i="25" s="1"/>
  <c r="N171" i="25"/>
  <c r="J180" i="25"/>
  <c r="K180" i="25" s="1"/>
  <c r="N180" i="25"/>
  <c r="J156" i="25"/>
  <c r="K156" i="25" s="1"/>
  <c r="N156" i="25"/>
  <c r="J168" i="25"/>
  <c r="K168" i="25" s="1"/>
  <c r="Q219" i="27"/>
  <c r="R219" i="27" s="1"/>
  <c r="X219" i="27"/>
  <c r="Q206" i="27"/>
  <c r="R206" i="27" s="1"/>
  <c r="Y206" i="27"/>
  <c r="P188" i="14"/>
  <c r="J169" i="25"/>
  <c r="K169" i="25" s="1"/>
  <c r="N169" i="25"/>
  <c r="J160" i="25"/>
  <c r="K160" i="25" s="1"/>
  <c r="J173" i="25"/>
  <c r="K173" i="25" s="1"/>
  <c r="J178" i="25"/>
  <c r="K178" i="25" s="1"/>
  <c r="N178" i="25"/>
  <c r="Q215" i="27"/>
  <c r="R215" i="27" s="1"/>
  <c r="X215" i="27"/>
  <c r="X237" i="27" s="1"/>
  <c r="Q208" i="27"/>
  <c r="R208" i="27" s="1"/>
  <c r="W208" i="27"/>
  <c r="W237" i="27" s="1"/>
  <c r="J166" i="25"/>
  <c r="K166" i="25" s="1"/>
  <c r="N166" i="25"/>
  <c r="J154" i="25"/>
  <c r="K154" i="25" s="1"/>
  <c r="N154" i="25"/>
  <c r="J175" i="25"/>
  <c r="K175" i="25" s="1"/>
  <c r="J177" i="25"/>
  <c r="K177" i="25" s="1"/>
  <c r="N177" i="25"/>
  <c r="J165" i="25"/>
  <c r="K165" i="25" s="1"/>
  <c r="N165" i="25"/>
  <c r="J153" i="25"/>
  <c r="K153" i="25" s="1"/>
  <c r="N153" i="25"/>
  <c r="J163" i="25"/>
  <c r="K163" i="25" s="1"/>
  <c r="Q212" i="27"/>
  <c r="R212" i="27" s="1"/>
  <c r="Y212" i="27"/>
  <c r="J179" i="25"/>
  <c r="K179" i="25" s="1"/>
  <c r="N179" i="25"/>
  <c r="J176" i="25"/>
  <c r="K176" i="25" s="1"/>
  <c r="N176" i="25"/>
  <c r="J164" i="25"/>
  <c r="K164" i="25" s="1"/>
  <c r="N164" i="25"/>
  <c r="J152" i="25"/>
  <c r="K152" i="25" s="1"/>
  <c r="K184" i="25" s="1"/>
  <c r="N152" i="25"/>
  <c r="J159" i="25"/>
  <c r="K159" i="25" s="1"/>
  <c r="Q232" i="27"/>
  <c r="R232" i="27" s="1"/>
  <c r="Y232" i="27"/>
  <c r="Y237" i="27" s="1"/>
  <c r="J181" i="25"/>
  <c r="K181" i="25" s="1"/>
  <c r="N181" i="25"/>
  <c r="N184" i="24"/>
  <c r="J161" i="25"/>
  <c r="K161" i="25" s="1"/>
  <c r="N161" i="25"/>
  <c r="J172" i="25"/>
  <c r="K172" i="25" s="1"/>
  <c r="N172" i="25"/>
  <c r="J174" i="25"/>
  <c r="K174" i="25" s="1"/>
  <c r="N174" i="25"/>
  <c r="J162" i="25"/>
  <c r="K162" i="25" s="1"/>
  <c r="N162" i="25"/>
  <c r="J183" i="25"/>
  <c r="K183" i="25" s="1"/>
  <c r="M183" i="25"/>
  <c r="Q236" i="27"/>
  <c r="R236" i="27" s="1"/>
  <c r="Y236" i="27"/>
  <c r="Q220" i="27"/>
  <c r="R220" i="27" s="1"/>
  <c r="Q231" i="27"/>
  <c r="R231" i="27" s="1"/>
  <c r="Q228" i="27"/>
  <c r="R228" i="27" s="1"/>
  <c r="Q224" i="27"/>
  <c r="R224" i="27" s="1"/>
  <c r="Q216" i="27"/>
  <c r="R216" i="27" s="1"/>
  <c r="Q218" i="27"/>
  <c r="R218" i="27" s="1"/>
  <c r="B77" i="18"/>
  <c r="Q227" i="27"/>
  <c r="R227" i="27" s="1"/>
  <c r="Q205" i="27"/>
  <c r="R205" i="27" s="1"/>
  <c r="G225" i="31"/>
  <c r="Q217" i="27"/>
  <c r="R217" i="27" s="1"/>
  <c r="Q230" i="27"/>
  <c r="R230" i="27" s="1"/>
  <c r="Q210" i="27"/>
  <c r="R210" i="27" s="1"/>
  <c r="Q211" i="27"/>
  <c r="R211" i="27" s="1"/>
  <c r="Q214" i="27"/>
  <c r="R214" i="27" s="1"/>
  <c r="Q234" i="27"/>
  <c r="R234" i="27" s="1"/>
  <c r="Q233" i="27"/>
  <c r="R233" i="27" s="1"/>
  <c r="Q226" i="27"/>
  <c r="R226" i="27" s="1"/>
  <c r="Q225" i="27"/>
  <c r="R225" i="27" s="1"/>
  <c r="Q229" i="27"/>
  <c r="R229" i="27" s="1"/>
  <c r="Q222" i="27"/>
  <c r="R222" i="27" s="1"/>
  <c r="Q221" i="27"/>
  <c r="R221" i="27" s="1"/>
  <c r="Q213" i="27"/>
  <c r="R213" i="27" s="1"/>
  <c r="Q235" i="27"/>
  <c r="R235" i="27" s="1"/>
  <c r="Q207" i="27"/>
  <c r="R207" i="27" s="1"/>
  <c r="C227" i="31"/>
  <c r="G226" i="31"/>
  <c r="K226" i="31"/>
  <c r="K225" i="31"/>
  <c r="C80" i="18" l="1"/>
  <c r="N184" i="25"/>
  <c r="C79" i="18"/>
  <c r="C82" i="18"/>
  <c r="R237" i="27"/>
  <c r="C228" i="31"/>
  <c r="G227" i="31"/>
  <c r="K227" i="31"/>
  <c r="C81" i="18" l="1"/>
  <c r="K228" i="31"/>
  <c r="G228" i="31"/>
  <c r="C229" i="31"/>
  <c r="C230" i="31" l="1"/>
  <c r="K229" i="31"/>
  <c r="G229" i="31"/>
  <c r="C231" i="31" l="1"/>
  <c r="K230" i="31"/>
  <c r="G230" i="31"/>
  <c r="C232" i="31" l="1"/>
  <c r="G231" i="31"/>
  <c r="K231" i="31"/>
  <c r="C233" i="31" l="1"/>
  <c r="K232" i="31"/>
  <c r="G232" i="31"/>
  <c r="C234" i="31" l="1"/>
  <c r="K233" i="31"/>
  <c r="G233" i="31"/>
  <c r="C235" i="31" l="1"/>
  <c r="G234" i="31"/>
  <c r="K234" i="31"/>
  <c r="C236" i="31" l="1"/>
  <c r="G235" i="31"/>
  <c r="K235" i="31"/>
  <c r="C237" i="31" l="1"/>
  <c r="G236" i="31"/>
  <c r="K236" i="31"/>
  <c r="C238" i="31" l="1"/>
  <c r="K237" i="31"/>
  <c r="G237" i="31"/>
  <c r="C239" i="31" l="1"/>
  <c r="G238" i="31"/>
  <c r="K238" i="31"/>
  <c r="C240" i="31" l="1"/>
  <c r="K239" i="31"/>
  <c r="G239" i="31"/>
  <c r="C241" i="31" l="1"/>
  <c r="K240" i="31"/>
  <c r="G240" i="31"/>
  <c r="C242" i="31" l="1"/>
  <c r="K241" i="31"/>
  <c r="G241" i="31"/>
  <c r="C243" i="31" l="1"/>
  <c r="G242" i="31"/>
  <c r="K242" i="31"/>
  <c r="C244" i="31" l="1"/>
  <c r="G243" i="31"/>
  <c r="K243" i="31"/>
  <c r="C245" i="31" l="1"/>
  <c r="G244" i="31"/>
  <c r="K244" i="31"/>
  <c r="C246" i="31" l="1"/>
  <c r="G245" i="31"/>
  <c r="K245" i="31"/>
  <c r="C247" i="31" l="1"/>
  <c r="G246" i="31"/>
  <c r="K246" i="31"/>
  <c r="C248" i="31" l="1"/>
  <c r="G247" i="31"/>
  <c r="K247" i="31"/>
  <c r="G248" i="31" l="1"/>
  <c r="C249" i="31"/>
  <c r="K248" i="31"/>
  <c r="C250" i="31" l="1"/>
  <c r="K249" i="31"/>
  <c r="G249" i="31"/>
  <c r="C251" i="31" l="1"/>
  <c r="G250" i="31"/>
  <c r="K250" i="31"/>
  <c r="C252" i="31" l="1"/>
  <c r="K251" i="31"/>
  <c r="G251" i="31"/>
  <c r="K252" i="31" l="1"/>
  <c r="K257" i="31" s="1"/>
  <c r="B78" i="18" s="1"/>
  <c r="B83" i="18" s="1"/>
  <c r="G252" i="31"/>
  <c r="G257" i="31" s="1"/>
  <c r="I260" i="31" l="1"/>
  <c r="C78" i="18"/>
  <c r="C83" i="18" s="1"/>
  <c r="C84" i="18" s="1"/>
  <c r="G189" i="27"/>
  <c r="F189" i="27"/>
  <c r="K189" i="27" s="1"/>
  <c r="O189" i="27" s="1"/>
  <c r="G188" i="27"/>
  <c r="F188" i="27"/>
  <c r="G187" i="27"/>
  <c r="F187" i="27"/>
  <c r="G186" i="27"/>
  <c r="F186" i="27"/>
  <c r="P186" i="27" s="1"/>
  <c r="G185" i="27"/>
  <c r="I185" i="27" s="1"/>
  <c r="M185" i="27" s="1"/>
  <c r="F185" i="27"/>
  <c r="G184" i="27"/>
  <c r="F184" i="27"/>
  <c r="G183" i="27"/>
  <c r="F183" i="27"/>
  <c r="G182" i="27"/>
  <c r="F182" i="27"/>
  <c r="P182" i="27" s="1"/>
  <c r="G181" i="27"/>
  <c r="F181" i="27"/>
  <c r="I181" i="27" s="1"/>
  <c r="M181" i="27" s="1"/>
  <c r="X181" i="27" s="1"/>
  <c r="G180" i="27"/>
  <c r="H180" i="27" s="1"/>
  <c r="L180" i="27" s="1"/>
  <c r="F180" i="27"/>
  <c r="P180" i="27" s="1"/>
  <c r="G179" i="27"/>
  <c r="F179" i="27"/>
  <c r="G178" i="27"/>
  <c r="F178" i="27"/>
  <c r="P178" i="27" s="1"/>
  <c r="G177" i="27"/>
  <c r="F177" i="27"/>
  <c r="G176" i="27"/>
  <c r="F176" i="27"/>
  <c r="P176" i="27" s="1"/>
  <c r="G175" i="27"/>
  <c r="F175" i="27"/>
  <c r="G174" i="27"/>
  <c r="F174" i="27"/>
  <c r="P174" i="27" s="1"/>
  <c r="I173" i="27"/>
  <c r="M173" i="27" s="1"/>
  <c r="G173" i="27"/>
  <c r="F173" i="27"/>
  <c r="P172" i="27"/>
  <c r="G172" i="27"/>
  <c r="F172" i="27"/>
  <c r="G171" i="27"/>
  <c r="F171" i="27"/>
  <c r="G170" i="27"/>
  <c r="J170" i="27" s="1"/>
  <c r="N170" i="27" s="1"/>
  <c r="Y170" i="27" s="1"/>
  <c r="F170" i="27"/>
  <c r="G169" i="27"/>
  <c r="I169" i="27" s="1"/>
  <c r="M169" i="27" s="1"/>
  <c r="F169" i="27"/>
  <c r="G168" i="27"/>
  <c r="F168" i="27"/>
  <c r="G167" i="27"/>
  <c r="F167" i="27"/>
  <c r="G166" i="27"/>
  <c r="F166" i="27"/>
  <c r="G165" i="27"/>
  <c r="F165" i="27"/>
  <c r="I165" i="27" s="1"/>
  <c r="M165" i="27" s="1"/>
  <c r="X165" i="27" s="1"/>
  <c r="P164" i="27"/>
  <c r="G164" i="27"/>
  <c r="F164" i="27"/>
  <c r="G163" i="27"/>
  <c r="F163" i="27"/>
  <c r="I163" i="27" s="1"/>
  <c r="M163" i="27" s="1"/>
  <c r="G162" i="27"/>
  <c r="F162" i="27"/>
  <c r="G161" i="27"/>
  <c r="F161" i="27"/>
  <c r="I161" i="27" s="1"/>
  <c r="M161" i="27" s="1"/>
  <c r="X161" i="27" s="1"/>
  <c r="G160" i="27"/>
  <c r="F160" i="27"/>
  <c r="P160" i="27" s="1"/>
  <c r="G159" i="27"/>
  <c r="F159" i="27"/>
  <c r="B159" i="27"/>
  <c r="B160" i="27" s="1"/>
  <c r="B161" i="27" s="1"/>
  <c r="B162" i="27" s="1"/>
  <c r="B163" i="27" s="1"/>
  <c r="B164" i="27" s="1"/>
  <c r="B165" i="27" s="1"/>
  <c r="B166" i="27" s="1"/>
  <c r="B167" i="27" s="1"/>
  <c r="B168" i="27" s="1"/>
  <c r="B169" i="27" s="1"/>
  <c r="B170" i="27" s="1"/>
  <c r="B171" i="27" s="1"/>
  <c r="B172" i="27" s="1"/>
  <c r="B173" i="27" s="1"/>
  <c r="B174" i="27" s="1"/>
  <c r="B175" i="27" s="1"/>
  <c r="B176" i="27" s="1"/>
  <c r="B177" i="27" s="1"/>
  <c r="B178" i="27" s="1"/>
  <c r="B179" i="27" s="1"/>
  <c r="B180" i="27" s="1"/>
  <c r="B181" i="27" s="1"/>
  <c r="B182" i="27" s="1"/>
  <c r="B183" i="27" s="1"/>
  <c r="B184" i="27" s="1"/>
  <c r="B185" i="27" s="1"/>
  <c r="B186" i="27" s="1"/>
  <c r="B187" i="27" s="1"/>
  <c r="B188" i="27" s="1"/>
  <c r="B189" i="27" s="1"/>
  <c r="A159" i="27"/>
  <c r="A160" i="27" s="1"/>
  <c r="A161" i="27" s="1"/>
  <c r="A162" i="27" s="1"/>
  <c r="A163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G158" i="27"/>
  <c r="F158" i="27"/>
  <c r="J158" i="27" s="1"/>
  <c r="N158" i="27" s="1"/>
  <c r="Y158" i="27" s="1"/>
  <c r="I146" i="24"/>
  <c r="K146" i="24" s="1"/>
  <c r="L146" i="24" s="1"/>
  <c r="D146" i="24"/>
  <c r="F146" i="24" s="1"/>
  <c r="G146" i="24" s="1"/>
  <c r="I145" i="24"/>
  <c r="K145" i="24" s="1"/>
  <c r="L145" i="24" s="1"/>
  <c r="D145" i="24"/>
  <c r="F145" i="24" s="1"/>
  <c r="G145" i="24" s="1"/>
  <c r="M145" i="24" s="1"/>
  <c r="A145" i="24"/>
  <c r="A146" i="24" s="1"/>
  <c r="I144" i="24"/>
  <c r="K144" i="24" s="1"/>
  <c r="L144" i="24" s="1"/>
  <c r="P144" i="24" s="1"/>
  <c r="D144" i="24"/>
  <c r="F144" i="24" s="1"/>
  <c r="G144" i="24" s="1"/>
  <c r="I143" i="24"/>
  <c r="K143" i="24" s="1"/>
  <c r="L143" i="24" s="1"/>
  <c r="P143" i="24" s="1"/>
  <c r="D143" i="24"/>
  <c r="F143" i="24" s="1"/>
  <c r="G143" i="24" s="1"/>
  <c r="M143" i="24" s="1"/>
  <c r="N143" i="24" s="1"/>
  <c r="I142" i="24"/>
  <c r="K142" i="24" s="1"/>
  <c r="L142" i="24" s="1"/>
  <c r="P142" i="24" s="1"/>
  <c r="D142" i="24"/>
  <c r="F142" i="24" s="1"/>
  <c r="G142" i="24" s="1"/>
  <c r="I141" i="24"/>
  <c r="K141" i="24" s="1"/>
  <c r="L141" i="24" s="1"/>
  <c r="P141" i="24" s="1"/>
  <c r="D141" i="24"/>
  <c r="F141" i="24" s="1"/>
  <c r="G141" i="24" s="1"/>
  <c r="I140" i="24"/>
  <c r="K140" i="24" s="1"/>
  <c r="L140" i="24" s="1"/>
  <c r="P140" i="24" s="1"/>
  <c r="D140" i="24"/>
  <c r="F140" i="24" s="1"/>
  <c r="G140" i="24" s="1"/>
  <c r="I139" i="24"/>
  <c r="K139" i="24" s="1"/>
  <c r="L139" i="24" s="1"/>
  <c r="P139" i="24" s="1"/>
  <c r="G139" i="24"/>
  <c r="M139" i="24" s="1"/>
  <c r="N139" i="24" s="1"/>
  <c r="D139" i="24"/>
  <c r="F139" i="24" s="1"/>
  <c r="I138" i="24"/>
  <c r="K138" i="24" s="1"/>
  <c r="L138" i="24" s="1"/>
  <c r="P138" i="24" s="1"/>
  <c r="D138" i="24"/>
  <c r="F138" i="24" s="1"/>
  <c r="G138" i="24" s="1"/>
  <c r="I137" i="24"/>
  <c r="K137" i="24" s="1"/>
  <c r="L137" i="24" s="1"/>
  <c r="P137" i="24" s="1"/>
  <c r="D137" i="24"/>
  <c r="F137" i="24" s="1"/>
  <c r="G137" i="24" s="1"/>
  <c r="I136" i="24"/>
  <c r="K136" i="24" s="1"/>
  <c r="L136" i="24" s="1"/>
  <c r="P136" i="24" s="1"/>
  <c r="D136" i="24"/>
  <c r="F136" i="24" s="1"/>
  <c r="G136" i="24" s="1"/>
  <c r="I135" i="24"/>
  <c r="K135" i="24" s="1"/>
  <c r="L135" i="24" s="1"/>
  <c r="P135" i="24" s="1"/>
  <c r="D135" i="24"/>
  <c r="F135" i="24" s="1"/>
  <c r="G135" i="24" s="1"/>
  <c r="I134" i="24"/>
  <c r="K134" i="24" s="1"/>
  <c r="L134" i="24" s="1"/>
  <c r="P134" i="24" s="1"/>
  <c r="D134" i="24"/>
  <c r="F134" i="24" s="1"/>
  <c r="G134" i="24" s="1"/>
  <c r="K133" i="24"/>
  <c r="L133" i="24" s="1"/>
  <c r="P133" i="24" s="1"/>
  <c r="I133" i="24"/>
  <c r="D133" i="24"/>
  <c r="F133" i="24" s="1"/>
  <c r="G133" i="24" s="1"/>
  <c r="K132" i="24"/>
  <c r="L132" i="24" s="1"/>
  <c r="P132" i="24" s="1"/>
  <c r="I132" i="24"/>
  <c r="D132" i="24"/>
  <c r="F132" i="24" s="1"/>
  <c r="G132" i="24" s="1"/>
  <c r="I131" i="24"/>
  <c r="K131" i="24" s="1"/>
  <c r="L131" i="24" s="1"/>
  <c r="P131" i="24" s="1"/>
  <c r="F131" i="24"/>
  <c r="G131" i="24" s="1"/>
  <c r="M131" i="24" s="1"/>
  <c r="N131" i="24" s="1"/>
  <c r="D131" i="24"/>
  <c r="I130" i="24"/>
  <c r="K130" i="24" s="1"/>
  <c r="L130" i="24" s="1"/>
  <c r="P130" i="24" s="1"/>
  <c r="D130" i="24"/>
  <c r="F130" i="24" s="1"/>
  <c r="G130" i="24" s="1"/>
  <c r="I129" i="24"/>
  <c r="K129" i="24" s="1"/>
  <c r="L129" i="24" s="1"/>
  <c r="P129" i="24" s="1"/>
  <c r="D129" i="24"/>
  <c r="F129" i="24" s="1"/>
  <c r="G129" i="24" s="1"/>
  <c r="K128" i="24"/>
  <c r="L128" i="24" s="1"/>
  <c r="P128" i="24" s="1"/>
  <c r="I128" i="24"/>
  <c r="F128" i="24"/>
  <c r="G128" i="24" s="1"/>
  <c r="D128" i="24"/>
  <c r="I127" i="24"/>
  <c r="K127" i="24" s="1"/>
  <c r="L127" i="24" s="1"/>
  <c r="P127" i="24" s="1"/>
  <c r="F127" i="24"/>
  <c r="G127" i="24" s="1"/>
  <c r="M127" i="24" s="1"/>
  <c r="N127" i="24" s="1"/>
  <c r="D127" i="24"/>
  <c r="I126" i="24"/>
  <c r="K126" i="24" s="1"/>
  <c r="L126" i="24" s="1"/>
  <c r="P126" i="24" s="1"/>
  <c r="D126" i="24"/>
  <c r="F126" i="24" s="1"/>
  <c r="G126" i="24" s="1"/>
  <c r="K125" i="24"/>
  <c r="L125" i="24" s="1"/>
  <c r="P125" i="24" s="1"/>
  <c r="I125" i="24"/>
  <c r="D125" i="24"/>
  <c r="F125" i="24" s="1"/>
  <c r="G125" i="24" s="1"/>
  <c r="K124" i="24"/>
  <c r="L124" i="24" s="1"/>
  <c r="P124" i="24" s="1"/>
  <c r="I124" i="24"/>
  <c r="F124" i="24"/>
  <c r="G124" i="24" s="1"/>
  <c r="D124" i="24"/>
  <c r="I123" i="24"/>
  <c r="K123" i="24" s="1"/>
  <c r="L123" i="24" s="1"/>
  <c r="D123" i="24"/>
  <c r="F123" i="24" s="1"/>
  <c r="G123" i="24" s="1"/>
  <c r="I122" i="24"/>
  <c r="K122" i="24" s="1"/>
  <c r="L122" i="24" s="1"/>
  <c r="P122" i="24" s="1"/>
  <c r="D122" i="24"/>
  <c r="F122" i="24" s="1"/>
  <c r="G122" i="24" s="1"/>
  <c r="I121" i="24"/>
  <c r="K121" i="24" s="1"/>
  <c r="L121" i="24" s="1"/>
  <c r="P121" i="24" s="1"/>
  <c r="D121" i="24"/>
  <c r="F121" i="24" s="1"/>
  <c r="G121" i="24" s="1"/>
  <c r="K120" i="24"/>
  <c r="L120" i="24" s="1"/>
  <c r="P120" i="24" s="1"/>
  <c r="I120" i="24"/>
  <c r="F120" i="24"/>
  <c r="G120" i="24" s="1"/>
  <c r="D120" i="24"/>
  <c r="I119" i="24"/>
  <c r="K119" i="24" s="1"/>
  <c r="L119" i="24" s="1"/>
  <c r="P119" i="24" s="1"/>
  <c r="D119" i="24"/>
  <c r="F119" i="24" s="1"/>
  <c r="G119" i="24" s="1"/>
  <c r="M119" i="24" s="1"/>
  <c r="N119" i="24" s="1"/>
  <c r="I118" i="24"/>
  <c r="K118" i="24" s="1"/>
  <c r="L118" i="24" s="1"/>
  <c r="P118" i="24" s="1"/>
  <c r="D118" i="24"/>
  <c r="F118" i="24" s="1"/>
  <c r="G118" i="24" s="1"/>
  <c r="M118" i="24" s="1"/>
  <c r="N118" i="24" s="1"/>
  <c r="K117" i="24"/>
  <c r="L117" i="24" s="1"/>
  <c r="P117" i="24" s="1"/>
  <c r="I117" i="24"/>
  <c r="D117" i="24"/>
  <c r="F117" i="24" s="1"/>
  <c r="G117" i="24" s="1"/>
  <c r="I116" i="24"/>
  <c r="K116" i="24" s="1"/>
  <c r="L116" i="24" s="1"/>
  <c r="P116" i="24" s="1"/>
  <c r="D116" i="24"/>
  <c r="F116" i="24" s="1"/>
  <c r="G116" i="24" s="1"/>
  <c r="M116" i="24" s="1"/>
  <c r="N116" i="24" s="1"/>
  <c r="B116" i="24"/>
  <c r="B117" i="24" s="1"/>
  <c r="B118" i="24" s="1"/>
  <c r="B119" i="24" s="1"/>
  <c r="B120" i="24" s="1"/>
  <c r="B121" i="24" s="1"/>
  <c r="B122" i="24" s="1"/>
  <c r="B123" i="24" s="1"/>
  <c r="B124" i="24" s="1"/>
  <c r="B125" i="24" s="1"/>
  <c r="B126" i="24" s="1"/>
  <c r="B127" i="24" s="1"/>
  <c r="B128" i="24" s="1"/>
  <c r="B129" i="24" s="1"/>
  <c r="B130" i="24" s="1"/>
  <c r="B131" i="24" s="1"/>
  <c r="B132" i="24" s="1"/>
  <c r="B133" i="24" s="1"/>
  <c r="B134" i="24" s="1"/>
  <c r="B135" i="24" s="1"/>
  <c r="B136" i="24" s="1"/>
  <c r="B137" i="24" s="1"/>
  <c r="B138" i="24" s="1"/>
  <c r="B139" i="24" s="1"/>
  <c r="B140" i="24" s="1"/>
  <c r="B141" i="24" s="1"/>
  <c r="B142" i="24" s="1"/>
  <c r="B143" i="24" s="1"/>
  <c r="B144" i="24" s="1"/>
  <c r="B145" i="24" s="1"/>
  <c r="B146" i="24" s="1"/>
  <c r="I115" i="24"/>
  <c r="K115" i="24" s="1"/>
  <c r="L115" i="24" s="1"/>
  <c r="P115" i="24" s="1"/>
  <c r="D115" i="24"/>
  <c r="F115" i="24" s="1"/>
  <c r="G115" i="24" s="1"/>
  <c r="M115" i="24" s="1"/>
  <c r="N115" i="24" s="1"/>
  <c r="D146" i="25"/>
  <c r="F146" i="25" s="1"/>
  <c r="D145" i="25"/>
  <c r="F145" i="25" s="1"/>
  <c r="I145" i="25" s="1"/>
  <c r="O145" i="25" s="1"/>
  <c r="A145" i="25"/>
  <c r="A146" i="25" s="1"/>
  <c r="D144" i="25"/>
  <c r="F144" i="25" s="1"/>
  <c r="D143" i="25"/>
  <c r="F143" i="25" s="1"/>
  <c r="F142" i="25"/>
  <c r="I142" i="25" s="1"/>
  <c r="O142" i="25" s="1"/>
  <c r="D142" i="25"/>
  <c r="D141" i="25"/>
  <c r="F141" i="25" s="1"/>
  <c r="D140" i="25"/>
  <c r="F140" i="25" s="1"/>
  <c r="D139" i="25"/>
  <c r="F139" i="25" s="1"/>
  <c r="F138" i="25"/>
  <c r="I138" i="25" s="1"/>
  <c r="O138" i="25" s="1"/>
  <c r="D138" i="25"/>
  <c r="D137" i="25"/>
  <c r="F137" i="25" s="1"/>
  <c r="D136" i="25"/>
  <c r="F136" i="25" s="1"/>
  <c r="D135" i="25"/>
  <c r="F135" i="25" s="1"/>
  <c r="F134" i="25"/>
  <c r="I134" i="25" s="1"/>
  <c r="O134" i="25" s="1"/>
  <c r="D134" i="25"/>
  <c r="D133" i="25"/>
  <c r="F133" i="25" s="1"/>
  <c r="D132" i="25"/>
  <c r="F132" i="25" s="1"/>
  <c r="D131" i="25"/>
  <c r="F131" i="25" s="1"/>
  <c r="F130" i="25"/>
  <c r="I130" i="25" s="1"/>
  <c r="O130" i="25" s="1"/>
  <c r="D130" i="25"/>
  <c r="D129" i="25"/>
  <c r="F129" i="25" s="1"/>
  <c r="D128" i="25"/>
  <c r="F128" i="25" s="1"/>
  <c r="D127" i="25"/>
  <c r="F127" i="25" s="1"/>
  <c r="F126" i="25"/>
  <c r="I126" i="25" s="1"/>
  <c r="O126" i="25" s="1"/>
  <c r="D126" i="25"/>
  <c r="D125" i="25"/>
  <c r="F125" i="25" s="1"/>
  <c r="D124" i="25"/>
  <c r="F124" i="25" s="1"/>
  <c r="D123" i="25"/>
  <c r="F123" i="25" s="1"/>
  <c r="F122" i="25"/>
  <c r="I122" i="25" s="1"/>
  <c r="O122" i="25" s="1"/>
  <c r="D122" i="25"/>
  <c r="D121" i="25"/>
  <c r="F121" i="25" s="1"/>
  <c r="D120" i="25"/>
  <c r="F120" i="25" s="1"/>
  <c r="D119" i="25"/>
  <c r="F119" i="25" s="1"/>
  <c r="F118" i="25"/>
  <c r="I118" i="25" s="1"/>
  <c r="O118" i="25" s="1"/>
  <c r="D118" i="25"/>
  <c r="D117" i="25"/>
  <c r="F117" i="25" s="1"/>
  <c r="D116" i="25"/>
  <c r="F116" i="25" s="1"/>
  <c r="B116" i="25"/>
  <c r="B117" i="25" s="1"/>
  <c r="B118" i="25" s="1"/>
  <c r="B119" i="25" s="1"/>
  <c r="B120" i="25" s="1"/>
  <c r="B121" i="25" s="1"/>
  <c r="B122" i="25" s="1"/>
  <c r="B123" i="25" s="1"/>
  <c r="B124" i="25" s="1"/>
  <c r="B125" i="25" s="1"/>
  <c r="B126" i="25" s="1"/>
  <c r="B127" i="25" s="1"/>
  <c r="B128" i="25" s="1"/>
  <c r="B129" i="25" s="1"/>
  <c r="B130" i="25" s="1"/>
  <c r="B131" i="25" s="1"/>
  <c r="B132" i="25" s="1"/>
  <c r="B133" i="25" s="1"/>
  <c r="B134" i="25" s="1"/>
  <c r="B135" i="25" s="1"/>
  <c r="B136" i="25" s="1"/>
  <c r="B137" i="25" s="1"/>
  <c r="B138" i="25" s="1"/>
  <c r="B139" i="25" s="1"/>
  <c r="B140" i="25" s="1"/>
  <c r="B141" i="25" s="1"/>
  <c r="B142" i="25" s="1"/>
  <c r="B143" i="25" s="1"/>
  <c r="B144" i="25" s="1"/>
  <c r="B145" i="25" s="1"/>
  <c r="B146" i="25" s="1"/>
  <c r="F115" i="25"/>
  <c r="I115" i="25" s="1"/>
  <c r="O115" i="25" s="1"/>
  <c r="D115" i="25"/>
  <c r="N150" i="14"/>
  <c r="J150" i="14"/>
  <c r="G150" i="14"/>
  <c r="D150" i="14"/>
  <c r="H150" i="14" s="1"/>
  <c r="N149" i="14"/>
  <c r="J149" i="14"/>
  <c r="G149" i="14"/>
  <c r="D149" i="14"/>
  <c r="A149" i="14"/>
  <c r="A150" i="14" s="1"/>
  <c r="J148" i="14"/>
  <c r="N148" i="14" s="1"/>
  <c r="R148" i="14" s="1"/>
  <c r="G148" i="14"/>
  <c r="D148" i="14"/>
  <c r="H148" i="14" s="1"/>
  <c r="O148" i="14" s="1"/>
  <c r="P148" i="14" s="1"/>
  <c r="J147" i="14"/>
  <c r="N147" i="14" s="1"/>
  <c r="R147" i="14" s="1"/>
  <c r="G147" i="14"/>
  <c r="D147" i="14"/>
  <c r="H147" i="14" s="1"/>
  <c r="O147" i="14" s="1"/>
  <c r="P147" i="14" s="1"/>
  <c r="J146" i="14"/>
  <c r="N146" i="14" s="1"/>
  <c r="R146" i="14" s="1"/>
  <c r="G146" i="14"/>
  <c r="D146" i="14"/>
  <c r="H146" i="14" s="1"/>
  <c r="O146" i="14" s="1"/>
  <c r="P146" i="14" s="1"/>
  <c r="J145" i="14"/>
  <c r="N145" i="14" s="1"/>
  <c r="R145" i="14" s="1"/>
  <c r="G145" i="14"/>
  <c r="D145" i="14"/>
  <c r="H145" i="14" s="1"/>
  <c r="O145" i="14" s="1"/>
  <c r="P145" i="14" s="1"/>
  <c r="J144" i="14"/>
  <c r="N144" i="14" s="1"/>
  <c r="R144" i="14" s="1"/>
  <c r="G144" i="14"/>
  <c r="D144" i="14"/>
  <c r="H144" i="14" s="1"/>
  <c r="O144" i="14" s="1"/>
  <c r="P144" i="14" s="1"/>
  <c r="J143" i="14"/>
  <c r="N143" i="14" s="1"/>
  <c r="R143" i="14" s="1"/>
  <c r="G143" i="14"/>
  <c r="D143" i="14"/>
  <c r="H143" i="14" s="1"/>
  <c r="O143" i="14" s="1"/>
  <c r="P143" i="14" s="1"/>
  <c r="J142" i="14"/>
  <c r="N142" i="14" s="1"/>
  <c r="R142" i="14" s="1"/>
  <c r="H142" i="14"/>
  <c r="O142" i="14" s="1"/>
  <c r="P142" i="14" s="1"/>
  <c r="G142" i="14"/>
  <c r="D142" i="14"/>
  <c r="J141" i="14"/>
  <c r="N141" i="14" s="1"/>
  <c r="R141" i="14" s="1"/>
  <c r="G141" i="14"/>
  <c r="D141" i="14"/>
  <c r="H141" i="14" s="1"/>
  <c r="O141" i="14" s="1"/>
  <c r="P141" i="14" s="1"/>
  <c r="J140" i="14"/>
  <c r="N140" i="14" s="1"/>
  <c r="R140" i="14" s="1"/>
  <c r="G140" i="14"/>
  <c r="D140" i="14"/>
  <c r="H140" i="14" s="1"/>
  <c r="O140" i="14" s="1"/>
  <c r="P140" i="14" s="1"/>
  <c r="J139" i="14"/>
  <c r="N139" i="14" s="1"/>
  <c r="R139" i="14" s="1"/>
  <c r="H139" i="14"/>
  <c r="O139" i="14" s="1"/>
  <c r="P139" i="14" s="1"/>
  <c r="G139" i="14"/>
  <c r="D139" i="14"/>
  <c r="J138" i="14"/>
  <c r="N138" i="14" s="1"/>
  <c r="R138" i="14" s="1"/>
  <c r="G138" i="14"/>
  <c r="D138" i="14"/>
  <c r="H138" i="14" s="1"/>
  <c r="O138" i="14" s="1"/>
  <c r="P138" i="14" s="1"/>
  <c r="J137" i="14"/>
  <c r="N137" i="14" s="1"/>
  <c r="R137" i="14" s="1"/>
  <c r="G137" i="14"/>
  <c r="D137" i="14"/>
  <c r="H137" i="14" s="1"/>
  <c r="O137" i="14" s="1"/>
  <c r="P137" i="14" s="1"/>
  <c r="J136" i="14"/>
  <c r="N136" i="14" s="1"/>
  <c r="R136" i="14" s="1"/>
  <c r="H136" i="14"/>
  <c r="O136" i="14" s="1"/>
  <c r="P136" i="14" s="1"/>
  <c r="G136" i="14"/>
  <c r="D136" i="14"/>
  <c r="J135" i="14"/>
  <c r="N135" i="14" s="1"/>
  <c r="R135" i="14" s="1"/>
  <c r="G135" i="14"/>
  <c r="D135" i="14"/>
  <c r="H135" i="14" s="1"/>
  <c r="O135" i="14" s="1"/>
  <c r="P135" i="14" s="1"/>
  <c r="J134" i="14"/>
  <c r="N134" i="14" s="1"/>
  <c r="R134" i="14" s="1"/>
  <c r="G134" i="14"/>
  <c r="D134" i="14"/>
  <c r="H134" i="14" s="1"/>
  <c r="O134" i="14" s="1"/>
  <c r="P134" i="14" s="1"/>
  <c r="J133" i="14"/>
  <c r="N133" i="14" s="1"/>
  <c r="R133" i="14" s="1"/>
  <c r="H133" i="14"/>
  <c r="O133" i="14" s="1"/>
  <c r="P133" i="14" s="1"/>
  <c r="G133" i="14"/>
  <c r="D133" i="14"/>
  <c r="J132" i="14"/>
  <c r="N132" i="14" s="1"/>
  <c r="R132" i="14" s="1"/>
  <c r="G132" i="14"/>
  <c r="D132" i="14"/>
  <c r="H132" i="14" s="1"/>
  <c r="O132" i="14" s="1"/>
  <c r="P132" i="14" s="1"/>
  <c r="J131" i="14"/>
  <c r="N131" i="14" s="1"/>
  <c r="R131" i="14" s="1"/>
  <c r="G131" i="14"/>
  <c r="D131" i="14"/>
  <c r="H131" i="14" s="1"/>
  <c r="O131" i="14" s="1"/>
  <c r="P131" i="14" s="1"/>
  <c r="J130" i="14"/>
  <c r="N130" i="14" s="1"/>
  <c r="R130" i="14" s="1"/>
  <c r="H130" i="14"/>
  <c r="O130" i="14" s="1"/>
  <c r="P130" i="14" s="1"/>
  <c r="G130" i="14"/>
  <c r="D130" i="14"/>
  <c r="J129" i="14"/>
  <c r="N129" i="14" s="1"/>
  <c r="R129" i="14" s="1"/>
  <c r="G129" i="14"/>
  <c r="D129" i="14"/>
  <c r="H129" i="14" s="1"/>
  <c r="O129" i="14" s="1"/>
  <c r="P129" i="14" s="1"/>
  <c r="J128" i="14"/>
  <c r="N128" i="14" s="1"/>
  <c r="R128" i="14" s="1"/>
  <c r="G128" i="14"/>
  <c r="D128" i="14"/>
  <c r="H128" i="14" s="1"/>
  <c r="O128" i="14" s="1"/>
  <c r="P128" i="14" s="1"/>
  <c r="J127" i="14"/>
  <c r="N127" i="14" s="1"/>
  <c r="R127" i="14" s="1"/>
  <c r="H127" i="14"/>
  <c r="O127" i="14" s="1"/>
  <c r="P127" i="14" s="1"/>
  <c r="G127" i="14"/>
  <c r="D127" i="14"/>
  <c r="J126" i="14"/>
  <c r="N126" i="14" s="1"/>
  <c r="R126" i="14" s="1"/>
  <c r="G126" i="14"/>
  <c r="D126" i="14"/>
  <c r="H126" i="14" s="1"/>
  <c r="O126" i="14" s="1"/>
  <c r="P126" i="14" s="1"/>
  <c r="J125" i="14"/>
  <c r="N125" i="14" s="1"/>
  <c r="R125" i="14" s="1"/>
  <c r="G125" i="14"/>
  <c r="D125" i="14"/>
  <c r="H125" i="14" s="1"/>
  <c r="O125" i="14" s="1"/>
  <c r="P125" i="14" s="1"/>
  <c r="J124" i="14"/>
  <c r="N124" i="14" s="1"/>
  <c r="R124" i="14" s="1"/>
  <c r="H124" i="14"/>
  <c r="O124" i="14" s="1"/>
  <c r="P124" i="14" s="1"/>
  <c r="G124" i="14"/>
  <c r="D124" i="14"/>
  <c r="J123" i="14"/>
  <c r="N123" i="14" s="1"/>
  <c r="R123" i="14" s="1"/>
  <c r="G123" i="14"/>
  <c r="D123" i="14"/>
  <c r="H123" i="14" s="1"/>
  <c r="O123" i="14" s="1"/>
  <c r="P123" i="14" s="1"/>
  <c r="J122" i="14"/>
  <c r="N122" i="14" s="1"/>
  <c r="R122" i="14" s="1"/>
  <c r="G122" i="14"/>
  <c r="D122" i="14"/>
  <c r="H122" i="14" s="1"/>
  <c r="O122" i="14" s="1"/>
  <c r="P122" i="14" s="1"/>
  <c r="J121" i="14"/>
  <c r="N121" i="14" s="1"/>
  <c r="R121" i="14" s="1"/>
  <c r="H121" i="14"/>
  <c r="O121" i="14" s="1"/>
  <c r="P121" i="14" s="1"/>
  <c r="G121" i="14"/>
  <c r="D121" i="14"/>
  <c r="J120" i="14"/>
  <c r="N120" i="14" s="1"/>
  <c r="R120" i="14" s="1"/>
  <c r="G120" i="14"/>
  <c r="D120" i="14"/>
  <c r="H120" i="14" s="1"/>
  <c r="O120" i="14" s="1"/>
  <c r="P120" i="14" s="1"/>
  <c r="B120" i="14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J119" i="14"/>
  <c r="N119" i="14" s="1"/>
  <c r="R119" i="14" s="1"/>
  <c r="R151" i="14" s="1"/>
  <c r="G119" i="14"/>
  <c r="H119" i="14" s="1"/>
  <c r="O119" i="14" s="1"/>
  <c r="P119" i="14" s="1"/>
  <c r="D119" i="14"/>
  <c r="J198" i="31"/>
  <c r="F198" i="31"/>
  <c r="J197" i="31"/>
  <c r="F197" i="31"/>
  <c r="J196" i="31"/>
  <c r="F196" i="31"/>
  <c r="J195" i="31"/>
  <c r="F195" i="31"/>
  <c r="J194" i="31"/>
  <c r="F194" i="31"/>
  <c r="J193" i="31"/>
  <c r="F193" i="31"/>
  <c r="J192" i="31"/>
  <c r="F192" i="31"/>
  <c r="J191" i="31"/>
  <c r="F191" i="31"/>
  <c r="J190" i="31"/>
  <c r="F190" i="31"/>
  <c r="J189" i="31"/>
  <c r="F189" i="31"/>
  <c r="J188" i="31"/>
  <c r="F188" i="31"/>
  <c r="J187" i="31"/>
  <c r="F187" i="31"/>
  <c r="P186" i="31"/>
  <c r="J186" i="31"/>
  <c r="F186" i="31"/>
  <c r="J185" i="31"/>
  <c r="F185" i="31"/>
  <c r="J184" i="31"/>
  <c r="F184" i="31"/>
  <c r="J183" i="31"/>
  <c r="F183" i="31"/>
  <c r="J182" i="31"/>
  <c r="F182" i="31"/>
  <c r="P181" i="31"/>
  <c r="P187" i="31" s="1"/>
  <c r="J181" i="31"/>
  <c r="F181" i="31"/>
  <c r="J180" i="31"/>
  <c r="F180" i="31"/>
  <c r="J179" i="31"/>
  <c r="F179" i="31"/>
  <c r="J178" i="31"/>
  <c r="F178" i="31"/>
  <c r="J177" i="31"/>
  <c r="F177" i="31"/>
  <c r="J176" i="31"/>
  <c r="F176" i="31"/>
  <c r="J175" i="31"/>
  <c r="F175" i="31"/>
  <c r="J174" i="31"/>
  <c r="F174" i="31"/>
  <c r="J173" i="31"/>
  <c r="J172" i="31"/>
  <c r="J171" i="31"/>
  <c r="E171" i="31"/>
  <c r="E172" i="31" s="1"/>
  <c r="F172" i="31" s="1"/>
  <c r="J170" i="31"/>
  <c r="F170" i="31"/>
  <c r="C170" i="31"/>
  <c r="J169" i="31"/>
  <c r="K169" i="31" s="1"/>
  <c r="F169" i="31"/>
  <c r="G169" i="31" s="1"/>
  <c r="D169" i="31"/>
  <c r="J168" i="31"/>
  <c r="K168" i="31" s="1"/>
  <c r="F168" i="31"/>
  <c r="G168" i="31" s="1"/>
  <c r="J167" i="31"/>
  <c r="K167" i="31" s="1"/>
  <c r="F167" i="31"/>
  <c r="G167" i="31" s="1"/>
  <c r="D79" i="19"/>
  <c r="D75" i="19"/>
  <c r="E75" i="19" s="1"/>
  <c r="C75" i="19"/>
  <c r="E49" i="19"/>
  <c r="C45" i="19"/>
  <c r="C46" i="19" s="1"/>
  <c r="C47" i="19" s="1"/>
  <c r="C48" i="19" s="1"/>
  <c r="C49" i="19" s="1"/>
  <c r="C50" i="19" s="1"/>
  <c r="C51" i="19" s="1"/>
  <c r="C52" i="19" s="1"/>
  <c r="C53" i="19" s="1"/>
  <c r="C54" i="19" s="1"/>
  <c r="C55" i="19" s="1"/>
  <c r="C56" i="19" s="1"/>
  <c r="C57" i="19" s="1"/>
  <c r="C58" i="19" s="1"/>
  <c r="C59" i="19" s="1"/>
  <c r="C60" i="19" s="1"/>
  <c r="C61" i="19" s="1"/>
  <c r="C62" i="19" s="1"/>
  <c r="C63" i="19" s="1"/>
  <c r="C64" i="19" s="1"/>
  <c r="C65" i="19" s="1"/>
  <c r="C66" i="19" s="1"/>
  <c r="C67" i="19" s="1"/>
  <c r="C68" i="19" s="1"/>
  <c r="C69" i="19" s="1"/>
  <c r="C70" i="19" s="1"/>
  <c r="C71" i="19" s="1"/>
  <c r="I116" i="25" l="1"/>
  <c r="O116" i="25" s="1"/>
  <c r="G116" i="25"/>
  <c r="M116" i="25" s="1"/>
  <c r="I135" i="25"/>
  <c r="O135" i="25" s="1"/>
  <c r="G135" i="25"/>
  <c r="M135" i="25" s="1"/>
  <c r="I127" i="25"/>
  <c r="O127" i="25" s="1"/>
  <c r="G127" i="25"/>
  <c r="M127" i="25" s="1"/>
  <c r="I137" i="25"/>
  <c r="O137" i="25" s="1"/>
  <c r="G137" i="25"/>
  <c r="M137" i="25" s="1"/>
  <c r="I128" i="25"/>
  <c r="O128" i="25" s="1"/>
  <c r="G128" i="25"/>
  <c r="M128" i="25" s="1"/>
  <c r="I124" i="25"/>
  <c r="O124" i="25" s="1"/>
  <c r="O147" i="25" s="1"/>
  <c r="G124" i="25"/>
  <c r="M124" i="25" s="1"/>
  <c r="I129" i="25"/>
  <c r="O129" i="25" s="1"/>
  <c r="G129" i="25"/>
  <c r="M129" i="25" s="1"/>
  <c r="I123" i="25"/>
  <c r="O123" i="25" s="1"/>
  <c r="G123" i="25"/>
  <c r="M123" i="25" s="1"/>
  <c r="I143" i="25"/>
  <c r="O143" i="25" s="1"/>
  <c r="G143" i="25"/>
  <c r="M143" i="25" s="1"/>
  <c r="I125" i="25"/>
  <c r="O125" i="25" s="1"/>
  <c r="G125" i="25"/>
  <c r="M125" i="25" s="1"/>
  <c r="I120" i="25"/>
  <c r="O120" i="25" s="1"/>
  <c r="G120" i="25"/>
  <c r="M120" i="25" s="1"/>
  <c r="I139" i="25"/>
  <c r="O139" i="25" s="1"/>
  <c r="G139" i="25"/>
  <c r="M139" i="25" s="1"/>
  <c r="I144" i="25"/>
  <c r="O144" i="25" s="1"/>
  <c r="G144" i="25"/>
  <c r="M144" i="25" s="1"/>
  <c r="I140" i="25"/>
  <c r="O140" i="25" s="1"/>
  <c r="G140" i="25"/>
  <c r="M140" i="25" s="1"/>
  <c r="P151" i="14"/>
  <c r="I117" i="25"/>
  <c r="O117" i="25" s="1"/>
  <c r="G117" i="25"/>
  <c r="M117" i="25" s="1"/>
  <c r="I136" i="25"/>
  <c r="O136" i="25" s="1"/>
  <c r="G136" i="25"/>
  <c r="M136" i="25" s="1"/>
  <c r="I121" i="25"/>
  <c r="O121" i="25" s="1"/>
  <c r="G121" i="25"/>
  <c r="M121" i="25" s="1"/>
  <c r="I131" i="25"/>
  <c r="O131" i="25" s="1"/>
  <c r="G131" i="25"/>
  <c r="M131" i="25" s="1"/>
  <c r="I141" i="25"/>
  <c r="O141" i="25" s="1"/>
  <c r="G141" i="25"/>
  <c r="M141" i="25" s="1"/>
  <c r="I133" i="25"/>
  <c r="O133" i="25" s="1"/>
  <c r="G133" i="25"/>
  <c r="M133" i="25" s="1"/>
  <c r="I119" i="25"/>
  <c r="O119" i="25" s="1"/>
  <c r="G119" i="25"/>
  <c r="M119" i="25" s="1"/>
  <c r="I132" i="25"/>
  <c r="O132" i="25" s="1"/>
  <c r="G132" i="25"/>
  <c r="M132" i="25" s="1"/>
  <c r="I159" i="27"/>
  <c r="M159" i="27" s="1"/>
  <c r="X159" i="27" s="1"/>
  <c r="N145" i="24"/>
  <c r="J187" i="27"/>
  <c r="N187" i="27" s="1"/>
  <c r="Y187" i="27" s="1"/>
  <c r="P145" i="24"/>
  <c r="J166" i="27"/>
  <c r="N166" i="27" s="1"/>
  <c r="Y166" i="27" s="1"/>
  <c r="K177" i="27"/>
  <c r="O177" i="27" s="1"/>
  <c r="Z177" i="27" s="1"/>
  <c r="O150" i="14"/>
  <c r="P150" i="14" s="1"/>
  <c r="Z189" i="27"/>
  <c r="H149" i="14"/>
  <c r="O149" i="14" s="1"/>
  <c r="P149" i="14" s="1"/>
  <c r="M129" i="24"/>
  <c r="N129" i="24" s="1"/>
  <c r="M133" i="24"/>
  <c r="N133" i="24" s="1"/>
  <c r="J162" i="27"/>
  <c r="N162" i="27" s="1"/>
  <c r="Y162" i="27" s="1"/>
  <c r="K173" i="27"/>
  <c r="O173" i="27" s="1"/>
  <c r="Z173" i="27" s="1"/>
  <c r="R149" i="14"/>
  <c r="M137" i="24"/>
  <c r="N137" i="24" s="1"/>
  <c r="M130" i="24"/>
  <c r="N130" i="24" s="1"/>
  <c r="M138" i="24"/>
  <c r="N138" i="24" s="1"/>
  <c r="P146" i="24"/>
  <c r="J168" i="27"/>
  <c r="N168" i="27" s="1"/>
  <c r="Y168" i="27" s="1"/>
  <c r="J184" i="27"/>
  <c r="N184" i="27" s="1"/>
  <c r="Y184" i="27" s="1"/>
  <c r="R150" i="14"/>
  <c r="M117" i="24"/>
  <c r="N117" i="24" s="1"/>
  <c r="M123" i="24"/>
  <c r="N123" i="24" s="1"/>
  <c r="P123" i="24"/>
  <c r="X163" i="27"/>
  <c r="X173" i="27"/>
  <c r="F171" i="31"/>
  <c r="G118" i="25"/>
  <c r="M118" i="25" s="1"/>
  <c r="G122" i="25"/>
  <c r="M122" i="25" s="1"/>
  <c r="G126" i="25"/>
  <c r="M126" i="25" s="1"/>
  <c r="G130" i="25"/>
  <c r="M130" i="25" s="1"/>
  <c r="G134" i="25"/>
  <c r="M134" i="25" s="1"/>
  <c r="G138" i="25"/>
  <c r="M138" i="25" s="1"/>
  <c r="G142" i="25"/>
  <c r="M142" i="25" s="1"/>
  <c r="M134" i="24"/>
  <c r="N134" i="24" s="1"/>
  <c r="M124" i="24"/>
  <c r="N124" i="24" s="1"/>
  <c r="X169" i="27"/>
  <c r="W180" i="27"/>
  <c r="X185" i="27"/>
  <c r="M128" i="24"/>
  <c r="N128" i="24" s="1"/>
  <c r="G170" i="31"/>
  <c r="G115" i="25"/>
  <c r="M115" i="25" s="1"/>
  <c r="P147" i="24"/>
  <c r="M135" i="24"/>
  <c r="N135" i="24" s="1"/>
  <c r="H169" i="27"/>
  <c r="L169" i="27" s="1"/>
  <c r="W169" i="27" s="1"/>
  <c r="J188" i="27"/>
  <c r="N188" i="27" s="1"/>
  <c r="Y188" i="27" s="1"/>
  <c r="P158" i="27"/>
  <c r="P162" i="27"/>
  <c r="K168" i="27"/>
  <c r="O168" i="27" s="1"/>
  <c r="Z168" i="27" s="1"/>
  <c r="H176" i="27"/>
  <c r="L176" i="27" s="1"/>
  <c r="W176" i="27" s="1"/>
  <c r="H177" i="27"/>
  <c r="L177" i="27" s="1"/>
  <c r="W177" i="27" s="1"/>
  <c r="I182" i="27"/>
  <c r="M182" i="27" s="1"/>
  <c r="X182" i="27" s="1"/>
  <c r="I189" i="27"/>
  <c r="M189" i="27" s="1"/>
  <c r="X189" i="27" s="1"/>
  <c r="K163" i="27"/>
  <c r="O163" i="27" s="1"/>
  <c r="Z163" i="27" s="1"/>
  <c r="K167" i="27"/>
  <c r="O167" i="27" s="1"/>
  <c r="Z167" i="27" s="1"/>
  <c r="K169" i="27"/>
  <c r="O169" i="27" s="1"/>
  <c r="Z169" i="27" s="1"/>
  <c r="J175" i="27"/>
  <c r="N175" i="27" s="1"/>
  <c r="Y175" i="27" s="1"/>
  <c r="J180" i="27"/>
  <c r="N180" i="27" s="1"/>
  <c r="Y180" i="27" s="1"/>
  <c r="J183" i="27"/>
  <c r="N183" i="27" s="1"/>
  <c r="Y183" i="27" s="1"/>
  <c r="P188" i="27"/>
  <c r="H159" i="27"/>
  <c r="L159" i="27" s="1"/>
  <c r="W159" i="27" s="1"/>
  <c r="P163" i="27"/>
  <c r="K165" i="27"/>
  <c r="O165" i="27" s="1"/>
  <c r="Z165" i="27" s="1"/>
  <c r="P168" i="27"/>
  <c r="I170" i="27"/>
  <c r="M170" i="27" s="1"/>
  <c r="X170" i="27" s="1"/>
  <c r="K171" i="27"/>
  <c r="O171" i="27" s="1"/>
  <c r="Z171" i="27" s="1"/>
  <c r="I177" i="27"/>
  <c r="M177" i="27" s="1"/>
  <c r="X177" i="27" s="1"/>
  <c r="K181" i="27"/>
  <c r="O181" i="27" s="1"/>
  <c r="Z181" i="27" s="1"/>
  <c r="H184" i="27"/>
  <c r="L184" i="27" s="1"/>
  <c r="W184" i="27" s="1"/>
  <c r="H185" i="27"/>
  <c r="L185" i="27" s="1"/>
  <c r="W185" i="27" s="1"/>
  <c r="P189" i="27"/>
  <c r="P169" i="27"/>
  <c r="I174" i="27"/>
  <c r="M174" i="27" s="1"/>
  <c r="X174" i="27" s="1"/>
  <c r="I178" i="27"/>
  <c r="M178" i="27" s="1"/>
  <c r="X178" i="27" s="1"/>
  <c r="P181" i="27"/>
  <c r="P184" i="27"/>
  <c r="I186" i="27"/>
  <c r="M186" i="27" s="1"/>
  <c r="X186" i="27" s="1"/>
  <c r="H158" i="27"/>
  <c r="L158" i="27" s="1"/>
  <c r="W158" i="27" s="1"/>
  <c r="K159" i="27"/>
  <c r="O159" i="27" s="1"/>
  <c r="Z159" i="27" s="1"/>
  <c r="P159" i="27"/>
  <c r="I160" i="27"/>
  <c r="M160" i="27" s="1"/>
  <c r="X160" i="27" s="1"/>
  <c r="H162" i="27"/>
  <c r="L162" i="27" s="1"/>
  <c r="W162" i="27" s="1"/>
  <c r="H163" i="27"/>
  <c r="L163" i="27" s="1"/>
  <c r="W163" i="27" s="1"/>
  <c r="H164" i="27"/>
  <c r="L164" i="27" s="1"/>
  <c r="W164" i="27" s="1"/>
  <c r="H165" i="27"/>
  <c r="L165" i="27" s="1"/>
  <c r="W165" i="27" s="1"/>
  <c r="P165" i="27"/>
  <c r="H168" i="27"/>
  <c r="L168" i="27" s="1"/>
  <c r="W168" i="27" s="1"/>
  <c r="H172" i="27"/>
  <c r="L172" i="27" s="1"/>
  <c r="W172" i="27" s="1"/>
  <c r="H173" i="27"/>
  <c r="L173" i="27" s="1"/>
  <c r="W173" i="27" s="1"/>
  <c r="P173" i="27"/>
  <c r="P177" i="27"/>
  <c r="K180" i="27"/>
  <c r="O180" i="27" s="1"/>
  <c r="Z180" i="27" s="1"/>
  <c r="H181" i="27"/>
  <c r="L181" i="27" s="1"/>
  <c r="W181" i="27" s="1"/>
  <c r="K185" i="27"/>
  <c r="O185" i="27" s="1"/>
  <c r="Z185" i="27" s="1"/>
  <c r="P185" i="27"/>
  <c r="H189" i="27"/>
  <c r="L189" i="27" s="1"/>
  <c r="W189" i="27" s="1"/>
  <c r="K170" i="31"/>
  <c r="E76" i="19"/>
  <c r="B63" i="18" s="1"/>
  <c r="K158" i="27"/>
  <c r="O158" i="27" s="1"/>
  <c r="Z158" i="27" s="1"/>
  <c r="J161" i="27"/>
  <c r="N161" i="27" s="1"/>
  <c r="Y161" i="27" s="1"/>
  <c r="K162" i="27"/>
  <c r="O162" i="27" s="1"/>
  <c r="Z162" i="27" s="1"/>
  <c r="J160" i="27"/>
  <c r="N160" i="27" s="1"/>
  <c r="Y160" i="27" s="1"/>
  <c r="K161" i="27"/>
  <c r="O161" i="27" s="1"/>
  <c r="Z161" i="27" s="1"/>
  <c r="P166" i="27"/>
  <c r="H166" i="27"/>
  <c r="L166" i="27" s="1"/>
  <c r="W166" i="27" s="1"/>
  <c r="K166" i="27"/>
  <c r="O166" i="27" s="1"/>
  <c r="Z166" i="27" s="1"/>
  <c r="J171" i="27"/>
  <c r="N171" i="27" s="1"/>
  <c r="Y171" i="27" s="1"/>
  <c r="I179" i="27"/>
  <c r="M179" i="27" s="1"/>
  <c r="X179" i="27" s="1"/>
  <c r="P179" i="27"/>
  <c r="H179" i="27"/>
  <c r="L179" i="27" s="1"/>
  <c r="W179" i="27" s="1"/>
  <c r="K179" i="27"/>
  <c r="O179" i="27" s="1"/>
  <c r="Z179" i="27" s="1"/>
  <c r="I188" i="27"/>
  <c r="M188" i="27" s="1"/>
  <c r="X188" i="27" s="1"/>
  <c r="H188" i="27"/>
  <c r="L188" i="27" s="1"/>
  <c r="W188" i="27" s="1"/>
  <c r="I158" i="27"/>
  <c r="M158" i="27" s="1"/>
  <c r="J159" i="27"/>
  <c r="N159" i="27" s="1"/>
  <c r="Y159" i="27" s="1"/>
  <c r="K160" i="27"/>
  <c r="O160" i="27" s="1"/>
  <c r="Z160" i="27" s="1"/>
  <c r="H161" i="27"/>
  <c r="L161" i="27" s="1"/>
  <c r="W161" i="27" s="1"/>
  <c r="P161" i="27"/>
  <c r="I162" i="27"/>
  <c r="M162" i="27" s="1"/>
  <c r="X162" i="27" s="1"/>
  <c r="J163" i="27"/>
  <c r="N163" i="27" s="1"/>
  <c r="K164" i="27"/>
  <c r="O164" i="27" s="1"/>
  <c r="Z164" i="27" s="1"/>
  <c r="K172" i="27"/>
  <c r="O172" i="27" s="1"/>
  <c r="Z172" i="27" s="1"/>
  <c r="I175" i="27"/>
  <c r="M175" i="27" s="1"/>
  <c r="X175" i="27" s="1"/>
  <c r="P175" i="27"/>
  <c r="H175" i="27"/>
  <c r="L175" i="27" s="1"/>
  <c r="W175" i="27" s="1"/>
  <c r="K175" i="27"/>
  <c r="O175" i="27" s="1"/>
  <c r="Z175" i="27" s="1"/>
  <c r="K188" i="27"/>
  <c r="O188" i="27" s="1"/>
  <c r="Z188" i="27" s="1"/>
  <c r="I183" i="27"/>
  <c r="M183" i="27" s="1"/>
  <c r="X183" i="27" s="1"/>
  <c r="P183" i="27"/>
  <c r="H183" i="27"/>
  <c r="L183" i="27" s="1"/>
  <c r="W183" i="27" s="1"/>
  <c r="K183" i="27"/>
  <c r="O183" i="27" s="1"/>
  <c r="Z183" i="27" s="1"/>
  <c r="I167" i="27"/>
  <c r="M167" i="27" s="1"/>
  <c r="X167" i="27" s="1"/>
  <c r="P167" i="27"/>
  <c r="H167" i="27"/>
  <c r="L167" i="27" s="1"/>
  <c r="W167" i="27" s="1"/>
  <c r="K176" i="27"/>
  <c r="O176" i="27" s="1"/>
  <c r="Z176" i="27" s="1"/>
  <c r="H160" i="27"/>
  <c r="L160" i="27" s="1"/>
  <c r="W160" i="27" s="1"/>
  <c r="J164" i="27"/>
  <c r="N164" i="27" s="1"/>
  <c r="Y164" i="27" s="1"/>
  <c r="I166" i="27"/>
  <c r="M166" i="27" s="1"/>
  <c r="X166" i="27" s="1"/>
  <c r="J167" i="27"/>
  <c r="N167" i="27" s="1"/>
  <c r="Y167" i="27" s="1"/>
  <c r="P170" i="27"/>
  <c r="H170" i="27"/>
  <c r="L170" i="27" s="1"/>
  <c r="W170" i="27" s="1"/>
  <c r="K170" i="27"/>
  <c r="O170" i="27" s="1"/>
  <c r="Z170" i="27" s="1"/>
  <c r="I171" i="27"/>
  <c r="M171" i="27" s="1"/>
  <c r="X171" i="27" s="1"/>
  <c r="P171" i="27"/>
  <c r="H171" i="27"/>
  <c r="L171" i="27" s="1"/>
  <c r="W171" i="27" s="1"/>
  <c r="J172" i="27"/>
  <c r="N172" i="27" s="1"/>
  <c r="Y172" i="27" s="1"/>
  <c r="J176" i="27"/>
  <c r="N176" i="27" s="1"/>
  <c r="Y176" i="27" s="1"/>
  <c r="J179" i="27"/>
  <c r="N179" i="27" s="1"/>
  <c r="Y179" i="27" s="1"/>
  <c r="K184" i="27"/>
  <c r="O184" i="27" s="1"/>
  <c r="Z184" i="27" s="1"/>
  <c r="I187" i="27"/>
  <c r="M187" i="27" s="1"/>
  <c r="X187" i="27" s="1"/>
  <c r="P187" i="27"/>
  <c r="H187" i="27"/>
  <c r="L187" i="27" s="1"/>
  <c r="W187" i="27" s="1"/>
  <c r="K187" i="27"/>
  <c r="O187" i="27" s="1"/>
  <c r="Z187" i="27" s="1"/>
  <c r="J174" i="27"/>
  <c r="N174" i="27" s="1"/>
  <c r="Y174" i="27" s="1"/>
  <c r="J178" i="27"/>
  <c r="N178" i="27" s="1"/>
  <c r="Y178" i="27" s="1"/>
  <c r="J182" i="27"/>
  <c r="N182" i="27" s="1"/>
  <c r="Y182" i="27" s="1"/>
  <c r="J186" i="27"/>
  <c r="N186" i="27" s="1"/>
  <c r="Y186" i="27" s="1"/>
  <c r="I164" i="27"/>
  <c r="M164" i="27" s="1"/>
  <c r="X164" i="27" s="1"/>
  <c r="J165" i="27"/>
  <c r="N165" i="27" s="1"/>
  <c r="I168" i="27"/>
  <c r="M168" i="27" s="1"/>
  <c r="J169" i="27"/>
  <c r="N169" i="27" s="1"/>
  <c r="Y169" i="27" s="1"/>
  <c r="I172" i="27"/>
  <c r="M172" i="27" s="1"/>
  <c r="X172" i="27" s="1"/>
  <c r="J173" i="27"/>
  <c r="N173" i="27" s="1"/>
  <c r="K174" i="27"/>
  <c r="O174" i="27" s="1"/>
  <c r="Z174" i="27" s="1"/>
  <c r="I176" i="27"/>
  <c r="M176" i="27" s="1"/>
  <c r="J177" i="27"/>
  <c r="N177" i="27" s="1"/>
  <c r="K178" i="27"/>
  <c r="O178" i="27" s="1"/>
  <c r="Z178" i="27" s="1"/>
  <c r="I180" i="27"/>
  <c r="M180" i="27" s="1"/>
  <c r="J181" i="27"/>
  <c r="N181" i="27" s="1"/>
  <c r="Y181" i="27" s="1"/>
  <c r="K182" i="27"/>
  <c r="O182" i="27" s="1"/>
  <c r="Z182" i="27" s="1"/>
  <c r="I184" i="27"/>
  <c r="M184" i="27" s="1"/>
  <c r="X184" i="27" s="1"/>
  <c r="J185" i="27"/>
  <c r="N185" i="27" s="1"/>
  <c r="K186" i="27"/>
  <c r="O186" i="27" s="1"/>
  <c r="Z186" i="27" s="1"/>
  <c r="J189" i="27"/>
  <c r="N189" i="27" s="1"/>
  <c r="Y189" i="27" s="1"/>
  <c r="H174" i="27"/>
  <c r="L174" i="27" s="1"/>
  <c r="W174" i="27" s="1"/>
  <c r="H178" i="27"/>
  <c r="L178" i="27" s="1"/>
  <c r="W178" i="27" s="1"/>
  <c r="H182" i="27"/>
  <c r="L182" i="27" s="1"/>
  <c r="W182" i="27" s="1"/>
  <c r="H186" i="27"/>
  <c r="L186" i="27" s="1"/>
  <c r="W186" i="27" s="1"/>
  <c r="M140" i="24"/>
  <c r="N140" i="24" s="1"/>
  <c r="M132" i="24"/>
  <c r="N132" i="24" s="1"/>
  <c r="M146" i="24"/>
  <c r="N146" i="24" s="1"/>
  <c r="M120" i="24"/>
  <c r="N120" i="24" s="1"/>
  <c r="M121" i="24"/>
  <c r="N121" i="24" s="1"/>
  <c r="M122" i="24"/>
  <c r="N122" i="24" s="1"/>
  <c r="M136" i="24"/>
  <c r="N136" i="24" s="1"/>
  <c r="M125" i="24"/>
  <c r="N125" i="24" s="1"/>
  <c r="M126" i="24"/>
  <c r="N126" i="24" s="1"/>
  <c r="M141" i="24"/>
  <c r="N141" i="24" s="1"/>
  <c r="M142" i="24"/>
  <c r="N142" i="24" s="1"/>
  <c r="M144" i="24"/>
  <c r="N144" i="24" s="1"/>
  <c r="J127" i="25"/>
  <c r="K127" i="25" s="1"/>
  <c r="J131" i="25"/>
  <c r="K131" i="25" s="1"/>
  <c r="J118" i="25"/>
  <c r="K118" i="25" s="1"/>
  <c r="J130" i="25"/>
  <c r="K130" i="25" s="1"/>
  <c r="H146" i="25"/>
  <c r="N146" i="25" s="1"/>
  <c r="G146" i="25"/>
  <c r="I146" i="25"/>
  <c r="O146" i="25" s="1"/>
  <c r="H115" i="25"/>
  <c r="H116" i="25"/>
  <c r="H117" i="25"/>
  <c r="H118" i="25"/>
  <c r="N118" i="25" s="1"/>
  <c r="H119" i="25"/>
  <c r="H120" i="25"/>
  <c r="N120" i="25" s="1"/>
  <c r="H121" i="25"/>
  <c r="H122" i="25"/>
  <c r="H123" i="25"/>
  <c r="H124" i="25"/>
  <c r="H125" i="25"/>
  <c r="H126" i="25"/>
  <c r="H127" i="25"/>
  <c r="N127" i="25" s="1"/>
  <c r="H128" i="25"/>
  <c r="H129" i="25"/>
  <c r="H130" i="25"/>
  <c r="N130" i="25" s="1"/>
  <c r="H131" i="25"/>
  <c r="N131" i="25" s="1"/>
  <c r="H132" i="25"/>
  <c r="H133" i="25"/>
  <c r="H134" i="25"/>
  <c r="N134" i="25" s="1"/>
  <c r="H135" i="25"/>
  <c r="H136" i="25"/>
  <c r="N136" i="25" s="1"/>
  <c r="H137" i="25"/>
  <c r="H138" i="25"/>
  <c r="H139" i="25"/>
  <c r="H140" i="25"/>
  <c r="H141" i="25"/>
  <c r="H142" i="25"/>
  <c r="H143" i="25"/>
  <c r="N143" i="25" s="1"/>
  <c r="H144" i="25"/>
  <c r="G145" i="25"/>
  <c r="H145" i="25"/>
  <c r="N145" i="25" s="1"/>
  <c r="C171" i="31"/>
  <c r="E173" i="31"/>
  <c r="F173" i="31" s="1"/>
  <c r="P184" i="31"/>
  <c r="P183" i="31"/>
  <c r="P185" i="31"/>
  <c r="J115" i="25" l="1"/>
  <c r="K115" i="25" s="1"/>
  <c r="N115" i="25"/>
  <c r="J138" i="25"/>
  <c r="K138" i="25" s="1"/>
  <c r="N138" i="25"/>
  <c r="J126" i="25"/>
  <c r="K126" i="25" s="1"/>
  <c r="N126" i="25"/>
  <c r="Q176" i="27"/>
  <c r="R176" i="27" s="1"/>
  <c r="X176" i="27"/>
  <c r="J116" i="25"/>
  <c r="K116" i="25" s="1"/>
  <c r="K147" i="25" s="1"/>
  <c r="N116" i="25"/>
  <c r="J124" i="25"/>
  <c r="K124" i="25" s="1"/>
  <c r="N124" i="25"/>
  <c r="Q173" i="27"/>
  <c r="R173" i="27" s="1"/>
  <c r="Y173" i="27"/>
  <c r="J141" i="25"/>
  <c r="K141" i="25" s="1"/>
  <c r="N141" i="25"/>
  <c r="Q180" i="27"/>
  <c r="R180" i="27" s="1"/>
  <c r="X180" i="27"/>
  <c r="J135" i="25"/>
  <c r="K135" i="25" s="1"/>
  <c r="N135" i="25"/>
  <c r="J123" i="25"/>
  <c r="K123" i="25" s="1"/>
  <c r="N123" i="25"/>
  <c r="J136" i="25"/>
  <c r="K136" i="25" s="1"/>
  <c r="Q158" i="27"/>
  <c r="R158" i="27" s="1"/>
  <c r="X158" i="27"/>
  <c r="W190" i="27"/>
  <c r="M147" i="25"/>
  <c r="J140" i="25"/>
  <c r="K140" i="25" s="1"/>
  <c r="N140" i="25"/>
  <c r="J137" i="25"/>
  <c r="K137" i="25" s="1"/>
  <c r="N137" i="25"/>
  <c r="C65" i="18"/>
  <c r="J129" i="25"/>
  <c r="K129" i="25" s="1"/>
  <c r="N129" i="25"/>
  <c r="Q163" i="27"/>
  <c r="R163" i="27" s="1"/>
  <c r="Y163" i="27"/>
  <c r="J128" i="25"/>
  <c r="K128" i="25" s="1"/>
  <c r="N128" i="25"/>
  <c r="Q177" i="27"/>
  <c r="R177" i="27" s="1"/>
  <c r="Y177" i="27"/>
  <c r="J146" i="25"/>
  <c r="K146" i="25" s="1"/>
  <c r="M146" i="25"/>
  <c r="J122" i="25"/>
  <c r="K122" i="25" s="1"/>
  <c r="N122" i="25"/>
  <c r="J120" i="25"/>
  <c r="K120" i="25" s="1"/>
  <c r="J145" i="25"/>
  <c r="K145" i="25" s="1"/>
  <c r="M145" i="25"/>
  <c r="J133" i="25"/>
  <c r="K133" i="25" s="1"/>
  <c r="N133" i="25"/>
  <c r="J121" i="25"/>
  <c r="K121" i="25" s="1"/>
  <c r="N121" i="25"/>
  <c r="J134" i="25"/>
  <c r="K134" i="25" s="1"/>
  <c r="Q185" i="27"/>
  <c r="R185" i="27" s="1"/>
  <c r="Y185" i="27"/>
  <c r="Q168" i="27"/>
  <c r="R168" i="27" s="1"/>
  <c r="X168" i="27"/>
  <c r="Q165" i="27"/>
  <c r="R165" i="27" s="1"/>
  <c r="Y165" i="27"/>
  <c r="Z190" i="27"/>
  <c r="J117" i="25"/>
  <c r="K117" i="25" s="1"/>
  <c r="N117" i="25"/>
  <c r="J139" i="25"/>
  <c r="K139" i="25" s="1"/>
  <c r="N139" i="25"/>
  <c r="J125" i="25"/>
  <c r="K125" i="25" s="1"/>
  <c r="N125" i="25"/>
  <c r="J144" i="25"/>
  <c r="K144" i="25" s="1"/>
  <c r="N144" i="25"/>
  <c r="J132" i="25"/>
  <c r="K132" i="25" s="1"/>
  <c r="N132" i="25"/>
  <c r="J119" i="25"/>
  <c r="K119" i="25" s="1"/>
  <c r="N119" i="25"/>
  <c r="N147" i="24"/>
  <c r="J142" i="25"/>
  <c r="K142" i="25" s="1"/>
  <c r="N142" i="25"/>
  <c r="J143" i="25"/>
  <c r="K143" i="25" s="1"/>
  <c r="Q184" i="27"/>
  <c r="R184" i="27" s="1"/>
  <c r="Q162" i="27"/>
  <c r="R162" i="27" s="1"/>
  <c r="Q159" i="27"/>
  <c r="R159" i="27" s="1"/>
  <c r="Q189" i="27"/>
  <c r="R189" i="27" s="1"/>
  <c r="Q182" i="27"/>
  <c r="R182" i="27" s="1"/>
  <c r="Q181" i="27"/>
  <c r="R181" i="27" s="1"/>
  <c r="Q169" i="27"/>
  <c r="R169" i="27" s="1"/>
  <c r="Q171" i="27"/>
  <c r="R171" i="27" s="1"/>
  <c r="Q175" i="27"/>
  <c r="R175" i="27" s="1"/>
  <c r="Q161" i="27"/>
  <c r="R161" i="27" s="1"/>
  <c r="Q164" i="27"/>
  <c r="R164" i="27" s="1"/>
  <c r="Q188" i="27"/>
  <c r="R188" i="27" s="1"/>
  <c r="Q178" i="27"/>
  <c r="R178" i="27" s="1"/>
  <c r="Q172" i="27"/>
  <c r="R172" i="27" s="1"/>
  <c r="Q167" i="27"/>
  <c r="R167" i="27" s="1"/>
  <c r="Q166" i="27"/>
  <c r="R166" i="27" s="1"/>
  <c r="Q187" i="27"/>
  <c r="R187" i="27" s="1"/>
  <c r="Q170" i="27"/>
  <c r="R170" i="27" s="1"/>
  <c r="Q183" i="27"/>
  <c r="R183" i="27" s="1"/>
  <c r="Q174" i="27"/>
  <c r="R174" i="27" s="1"/>
  <c r="Q160" i="27"/>
  <c r="R160" i="27" s="1"/>
  <c r="Q186" i="27"/>
  <c r="R186" i="27" s="1"/>
  <c r="Q179" i="27"/>
  <c r="R179" i="27" s="1"/>
  <c r="C172" i="31"/>
  <c r="G171" i="31"/>
  <c r="K171" i="31"/>
  <c r="C66" i="18" l="1"/>
  <c r="C68" i="18"/>
  <c r="Y190" i="27"/>
  <c r="X190" i="27"/>
  <c r="N147" i="25"/>
  <c r="R190" i="27"/>
  <c r="C173" i="31"/>
  <c r="K172" i="31"/>
  <c r="G172" i="31"/>
  <c r="C67" i="18" l="1"/>
  <c r="C174" i="31"/>
  <c r="K173" i="31"/>
  <c r="G173" i="31"/>
  <c r="C175" i="31" l="1"/>
  <c r="K174" i="31"/>
  <c r="G174" i="31"/>
  <c r="C176" i="31" l="1"/>
  <c r="K175" i="31"/>
  <c r="G175" i="31"/>
  <c r="C177" i="31" l="1"/>
  <c r="G176" i="31"/>
  <c r="K176" i="31"/>
  <c r="C178" i="31" l="1"/>
  <c r="G177" i="31"/>
  <c r="K177" i="31"/>
  <c r="K178" i="31" l="1"/>
  <c r="C179" i="31"/>
  <c r="G178" i="31"/>
  <c r="C180" i="31" l="1"/>
  <c r="G179" i="31"/>
  <c r="K179" i="31"/>
  <c r="C181" i="31" l="1"/>
  <c r="G180" i="31"/>
  <c r="K180" i="31"/>
  <c r="C182" i="31" l="1"/>
  <c r="G181" i="31"/>
  <c r="K181" i="31"/>
  <c r="G182" i="31" l="1"/>
  <c r="C183" i="31"/>
  <c r="K182" i="31"/>
  <c r="C184" i="31" l="1"/>
  <c r="G183" i="31"/>
  <c r="K183" i="31"/>
  <c r="K184" i="31" l="1"/>
  <c r="C185" i="31"/>
  <c r="G184" i="31"/>
  <c r="C186" i="31" l="1"/>
  <c r="G185" i="31"/>
  <c r="K185" i="31"/>
  <c r="K186" i="31" l="1"/>
  <c r="C187" i="31"/>
  <c r="G186" i="31"/>
  <c r="C188" i="31" l="1"/>
  <c r="G187" i="31"/>
  <c r="K187" i="31"/>
  <c r="C189" i="31" l="1"/>
  <c r="G188" i="31"/>
  <c r="K188" i="31"/>
  <c r="C190" i="31" l="1"/>
  <c r="G189" i="31"/>
  <c r="K189" i="31"/>
  <c r="C191" i="31" l="1"/>
  <c r="K190" i="31"/>
  <c r="G190" i="31"/>
  <c r="C192" i="31" l="1"/>
  <c r="K191" i="31"/>
  <c r="G191" i="31"/>
  <c r="C193" i="31" l="1"/>
  <c r="G192" i="31"/>
  <c r="K192" i="31"/>
  <c r="C194" i="31" l="1"/>
  <c r="G193" i="31"/>
  <c r="K193" i="31"/>
  <c r="C195" i="31" l="1"/>
  <c r="G194" i="31"/>
  <c r="K194" i="31"/>
  <c r="C196" i="31" l="1"/>
  <c r="K195" i="31"/>
  <c r="G195" i="31"/>
  <c r="C197" i="31" l="1"/>
  <c r="K196" i="31"/>
  <c r="G196" i="31"/>
  <c r="C198" i="31" l="1"/>
  <c r="G197" i="31"/>
  <c r="K197" i="31"/>
  <c r="K198" i="31" l="1"/>
  <c r="K203" i="31" s="1"/>
  <c r="B64" i="18" s="1"/>
  <c r="B69" i="18" s="1"/>
  <c r="G198" i="31"/>
  <c r="G203" i="31" s="1"/>
  <c r="I206" i="31" l="1"/>
  <c r="C64" i="18"/>
  <c r="C69" i="18" s="1"/>
  <c r="C70" i="18" s="1"/>
  <c r="G142" i="27"/>
  <c r="F142" i="27"/>
  <c r="K142" i="27" s="1"/>
  <c r="O142" i="27" s="1"/>
  <c r="Z142" i="27" s="1"/>
  <c r="G141" i="27"/>
  <c r="I141" i="27" s="1"/>
  <c r="M141" i="27" s="1"/>
  <c r="X141" i="27" s="1"/>
  <c r="F141" i="27"/>
  <c r="P141" i="27" s="1"/>
  <c r="G140" i="27"/>
  <c r="F140" i="27"/>
  <c r="I139" i="27"/>
  <c r="M139" i="27" s="1"/>
  <c r="X139" i="27" s="1"/>
  <c r="G139" i="27"/>
  <c r="F139" i="27"/>
  <c r="J139" i="27" s="1"/>
  <c r="N139" i="27" s="1"/>
  <c r="G138" i="27"/>
  <c r="F138" i="27"/>
  <c r="G137" i="27"/>
  <c r="F137" i="27"/>
  <c r="P137" i="27" s="1"/>
  <c r="G136" i="27"/>
  <c r="F136" i="27"/>
  <c r="K136" i="27" s="1"/>
  <c r="O136" i="27" s="1"/>
  <c r="Z136" i="27" s="1"/>
  <c r="G135" i="27"/>
  <c r="J135" i="27" s="1"/>
  <c r="N135" i="27" s="1"/>
  <c r="F135" i="27"/>
  <c r="G134" i="27"/>
  <c r="F134" i="27"/>
  <c r="K134" i="27" s="1"/>
  <c r="O134" i="27" s="1"/>
  <c r="Z134" i="27" s="1"/>
  <c r="G133" i="27"/>
  <c r="F133" i="27"/>
  <c r="P133" i="27" s="1"/>
  <c r="G132" i="27"/>
  <c r="F132" i="27"/>
  <c r="G131" i="27"/>
  <c r="F131" i="27"/>
  <c r="J131" i="27" s="1"/>
  <c r="N131" i="27" s="1"/>
  <c r="Y131" i="27" s="1"/>
  <c r="G130" i="27"/>
  <c r="K130" i="27" s="1"/>
  <c r="O130" i="27" s="1"/>
  <c r="Z130" i="27" s="1"/>
  <c r="F130" i="27"/>
  <c r="G129" i="27"/>
  <c r="F129" i="27"/>
  <c r="P129" i="27" s="1"/>
  <c r="G128" i="27"/>
  <c r="F128" i="27"/>
  <c r="G127" i="27"/>
  <c r="F127" i="27"/>
  <c r="G126" i="27"/>
  <c r="F126" i="27"/>
  <c r="K126" i="27" s="1"/>
  <c r="O126" i="27" s="1"/>
  <c r="Z126" i="27" s="1"/>
  <c r="G125" i="27"/>
  <c r="F125" i="27"/>
  <c r="P125" i="27" s="1"/>
  <c r="G124" i="27"/>
  <c r="F124" i="27"/>
  <c r="G123" i="27"/>
  <c r="F123" i="27"/>
  <c r="J123" i="27" s="1"/>
  <c r="N123" i="27" s="1"/>
  <c r="Y123" i="27" s="1"/>
  <c r="G122" i="27"/>
  <c r="F122" i="27"/>
  <c r="G121" i="27"/>
  <c r="F121" i="27"/>
  <c r="P121" i="27" s="1"/>
  <c r="G120" i="27"/>
  <c r="F120" i="27"/>
  <c r="K120" i="27" s="1"/>
  <c r="O120" i="27" s="1"/>
  <c r="Z120" i="27" s="1"/>
  <c r="G119" i="27"/>
  <c r="F119" i="27"/>
  <c r="G118" i="27"/>
  <c r="F118" i="27"/>
  <c r="P118" i="27" s="1"/>
  <c r="G117" i="27"/>
  <c r="F117" i="27"/>
  <c r="K117" i="27" s="1"/>
  <c r="O117" i="27" s="1"/>
  <c r="Z117" i="27" s="1"/>
  <c r="G116" i="27"/>
  <c r="F116" i="27"/>
  <c r="G115" i="27"/>
  <c r="F115" i="27"/>
  <c r="P115" i="27" s="1"/>
  <c r="G114" i="27"/>
  <c r="F114" i="27"/>
  <c r="G113" i="27"/>
  <c r="F113" i="27"/>
  <c r="P113" i="27" s="1"/>
  <c r="I112" i="27"/>
  <c r="M112" i="27" s="1"/>
  <c r="X112" i="27" s="1"/>
  <c r="G112" i="27"/>
  <c r="F112" i="27"/>
  <c r="P112" i="27" s="1"/>
  <c r="B112" i="27"/>
  <c r="B113" i="27" s="1"/>
  <c r="B114" i="27" s="1"/>
  <c r="B115" i="27" s="1"/>
  <c r="B116" i="27" s="1"/>
  <c r="B117" i="27" s="1"/>
  <c r="B118" i="27" s="1"/>
  <c r="B119" i="27" s="1"/>
  <c r="B120" i="27" s="1"/>
  <c r="B121" i="27" s="1"/>
  <c r="B122" i="27" s="1"/>
  <c r="B123" i="27" s="1"/>
  <c r="B124" i="27" s="1"/>
  <c r="B125" i="27" s="1"/>
  <c r="B126" i="27" s="1"/>
  <c r="B127" i="27" s="1"/>
  <c r="B128" i="27" s="1"/>
  <c r="B129" i="27" s="1"/>
  <c r="B130" i="27" s="1"/>
  <c r="B131" i="27" s="1"/>
  <c r="B132" i="27" s="1"/>
  <c r="B133" i="27" s="1"/>
  <c r="B134" i="27" s="1"/>
  <c r="B135" i="27" s="1"/>
  <c r="B136" i="27" s="1"/>
  <c r="B137" i="27" s="1"/>
  <c r="B138" i="27" s="1"/>
  <c r="B139" i="27" s="1"/>
  <c r="B140" i="27" s="1"/>
  <c r="B141" i="27" s="1"/>
  <c r="B142" i="27" s="1"/>
  <c r="A112" i="27"/>
  <c r="A113" i="27" s="1"/>
  <c r="A114" i="27" s="1"/>
  <c r="A115" i="27" s="1"/>
  <c r="A116" i="27" s="1"/>
  <c r="A117" i="27" s="1"/>
  <c r="A118" i="27" s="1"/>
  <c r="A119" i="27" s="1"/>
  <c r="A120" i="27" s="1"/>
  <c r="A121" i="27" s="1"/>
  <c r="A122" i="27" s="1"/>
  <c r="A123" i="27" s="1"/>
  <c r="A124" i="27" s="1"/>
  <c r="A125" i="27" s="1"/>
  <c r="A126" i="27" s="1"/>
  <c r="A127" i="27" s="1"/>
  <c r="A128" i="27" s="1"/>
  <c r="A129" i="27" s="1"/>
  <c r="A130" i="27" s="1"/>
  <c r="A131" i="27" s="1"/>
  <c r="A132" i="27" s="1"/>
  <c r="A133" i="27" s="1"/>
  <c r="A134" i="27" s="1"/>
  <c r="A135" i="27" s="1"/>
  <c r="A136" i="27" s="1"/>
  <c r="A137" i="27" s="1"/>
  <c r="A138" i="27" s="1"/>
  <c r="A139" i="27" s="1"/>
  <c r="A140" i="27" s="1"/>
  <c r="A141" i="27" s="1"/>
  <c r="A142" i="27" s="1"/>
  <c r="G111" i="27"/>
  <c r="F111" i="27"/>
  <c r="P111" i="27" s="1"/>
  <c r="I109" i="24"/>
  <c r="K109" i="24" s="1"/>
  <c r="L109" i="24" s="1"/>
  <c r="P109" i="24" s="1"/>
  <c r="F109" i="24"/>
  <c r="G109" i="24" s="1"/>
  <c r="M109" i="24" s="1"/>
  <c r="N109" i="24" s="1"/>
  <c r="D109" i="24"/>
  <c r="A109" i="24"/>
  <c r="I108" i="24"/>
  <c r="K108" i="24" s="1"/>
  <c r="L108" i="24" s="1"/>
  <c r="P108" i="24" s="1"/>
  <c r="D108" i="24"/>
  <c r="F108" i="24" s="1"/>
  <c r="G108" i="24" s="1"/>
  <c r="M108" i="24" s="1"/>
  <c r="N108" i="24" s="1"/>
  <c r="A108" i="24"/>
  <c r="I107" i="24"/>
  <c r="K107" i="24" s="1"/>
  <c r="L107" i="24" s="1"/>
  <c r="P107" i="24" s="1"/>
  <c r="D107" i="24"/>
  <c r="F107" i="24" s="1"/>
  <c r="G107" i="24" s="1"/>
  <c r="M107" i="24" s="1"/>
  <c r="N107" i="24" s="1"/>
  <c r="I106" i="24"/>
  <c r="K106" i="24" s="1"/>
  <c r="L106" i="24" s="1"/>
  <c r="P106" i="24" s="1"/>
  <c r="G106" i="24"/>
  <c r="M106" i="24" s="1"/>
  <c r="N106" i="24" s="1"/>
  <c r="F106" i="24"/>
  <c r="D106" i="24"/>
  <c r="I105" i="24"/>
  <c r="K105" i="24" s="1"/>
  <c r="L105" i="24" s="1"/>
  <c r="P105" i="24" s="1"/>
  <c r="D105" i="24"/>
  <c r="F105" i="24" s="1"/>
  <c r="G105" i="24" s="1"/>
  <c r="M105" i="24" s="1"/>
  <c r="N105" i="24" s="1"/>
  <c r="I104" i="24"/>
  <c r="K104" i="24" s="1"/>
  <c r="L104" i="24" s="1"/>
  <c r="P104" i="24" s="1"/>
  <c r="D104" i="24"/>
  <c r="F104" i="24" s="1"/>
  <c r="G104" i="24" s="1"/>
  <c r="I103" i="24"/>
  <c r="K103" i="24" s="1"/>
  <c r="L103" i="24" s="1"/>
  <c r="P103" i="24" s="1"/>
  <c r="D103" i="24"/>
  <c r="F103" i="24" s="1"/>
  <c r="G103" i="24" s="1"/>
  <c r="I102" i="24"/>
  <c r="K102" i="24" s="1"/>
  <c r="L102" i="24" s="1"/>
  <c r="P102" i="24" s="1"/>
  <c r="D102" i="24"/>
  <c r="F102" i="24" s="1"/>
  <c r="G102" i="24" s="1"/>
  <c r="M102" i="24" s="1"/>
  <c r="N102" i="24" s="1"/>
  <c r="I101" i="24"/>
  <c r="K101" i="24" s="1"/>
  <c r="L101" i="24" s="1"/>
  <c r="P101" i="24" s="1"/>
  <c r="D101" i="24"/>
  <c r="F101" i="24" s="1"/>
  <c r="G101" i="24" s="1"/>
  <c r="M101" i="24" s="1"/>
  <c r="N101" i="24" s="1"/>
  <c r="I100" i="24"/>
  <c r="K100" i="24" s="1"/>
  <c r="L100" i="24" s="1"/>
  <c r="P100" i="24" s="1"/>
  <c r="D100" i="24"/>
  <c r="F100" i="24" s="1"/>
  <c r="G100" i="24" s="1"/>
  <c r="I99" i="24"/>
  <c r="K99" i="24" s="1"/>
  <c r="L99" i="24" s="1"/>
  <c r="P99" i="24" s="1"/>
  <c r="D99" i="24"/>
  <c r="F99" i="24" s="1"/>
  <c r="G99" i="24" s="1"/>
  <c r="I98" i="24"/>
  <c r="K98" i="24" s="1"/>
  <c r="L98" i="24" s="1"/>
  <c r="P98" i="24" s="1"/>
  <c r="D98" i="24"/>
  <c r="F98" i="24" s="1"/>
  <c r="G98" i="24" s="1"/>
  <c r="M98" i="24" s="1"/>
  <c r="N98" i="24" s="1"/>
  <c r="N97" i="24"/>
  <c r="I97" i="24"/>
  <c r="K97" i="24" s="1"/>
  <c r="L97" i="24" s="1"/>
  <c r="P97" i="24" s="1"/>
  <c r="D97" i="24"/>
  <c r="F97" i="24" s="1"/>
  <c r="G97" i="24" s="1"/>
  <c r="M97" i="24" s="1"/>
  <c r="I96" i="24"/>
  <c r="K96" i="24" s="1"/>
  <c r="L96" i="24" s="1"/>
  <c r="P96" i="24" s="1"/>
  <c r="D96" i="24"/>
  <c r="F96" i="24" s="1"/>
  <c r="G96" i="24" s="1"/>
  <c r="I95" i="24"/>
  <c r="K95" i="24" s="1"/>
  <c r="L95" i="24" s="1"/>
  <c r="P95" i="24" s="1"/>
  <c r="D95" i="24"/>
  <c r="F95" i="24" s="1"/>
  <c r="G95" i="24" s="1"/>
  <c r="I94" i="24"/>
  <c r="K94" i="24" s="1"/>
  <c r="L94" i="24" s="1"/>
  <c r="P94" i="24" s="1"/>
  <c r="D94" i="24"/>
  <c r="F94" i="24" s="1"/>
  <c r="G94" i="24" s="1"/>
  <c r="M94" i="24" s="1"/>
  <c r="N94" i="24" s="1"/>
  <c r="I93" i="24"/>
  <c r="K93" i="24" s="1"/>
  <c r="L93" i="24" s="1"/>
  <c r="P93" i="24" s="1"/>
  <c r="D93" i="24"/>
  <c r="F93" i="24" s="1"/>
  <c r="G93" i="24" s="1"/>
  <c r="K92" i="24"/>
  <c r="L92" i="24" s="1"/>
  <c r="P92" i="24" s="1"/>
  <c r="I92" i="24"/>
  <c r="D92" i="24"/>
  <c r="F92" i="24" s="1"/>
  <c r="G92" i="24" s="1"/>
  <c r="I91" i="24"/>
  <c r="K91" i="24" s="1"/>
  <c r="L91" i="24" s="1"/>
  <c r="P91" i="24" s="1"/>
  <c r="D91" i="24"/>
  <c r="F91" i="24" s="1"/>
  <c r="G91" i="24" s="1"/>
  <c r="I90" i="24"/>
  <c r="K90" i="24" s="1"/>
  <c r="L90" i="24" s="1"/>
  <c r="P90" i="24" s="1"/>
  <c r="D90" i="24"/>
  <c r="F90" i="24" s="1"/>
  <c r="G90" i="24" s="1"/>
  <c r="M90" i="24" s="1"/>
  <c r="N90" i="24" s="1"/>
  <c r="I89" i="24"/>
  <c r="K89" i="24" s="1"/>
  <c r="L89" i="24" s="1"/>
  <c r="P89" i="24" s="1"/>
  <c r="D89" i="24"/>
  <c r="F89" i="24" s="1"/>
  <c r="G89" i="24" s="1"/>
  <c r="M89" i="24" s="1"/>
  <c r="N89" i="24" s="1"/>
  <c r="K88" i="24"/>
  <c r="L88" i="24" s="1"/>
  <c r="P88" i="24" s="1"/>
  <c r="I88" i="24"/>
  <c r="D88" i="24"/>
  <c r="F88" i="24" s="1"/>
  <c r="G88" i="24" s="1"/>
  <c r="I87" i="24"/>
  <c r="K87" i="24" s="1"/>
  <c r="L87" i="24" s="1"/>
  <c r="P87" i="24" s="1"/>
  <c r="F87" i="24"/>
  <c r="G87" i="24" s="1"/>
  <c r="D87" i="24"/>
  <c r="I86" i="24"/>
  <c r="K86" i="24" s="1"/>
  <c r="L86" i="24" s="1"/>
  <c r="P86" i="24" s="1"/>
  <c r="D86" i="24"/>
  <c r="F86" i="24" s="1"/>
  <c r="G86" i="24" s="1"/>
  <c r="M86" i="24" s="1"/>
  <c r="N86" i="24" s="1"/>
  <c r="I85" i="24"/>
  <c r="K85" i="24" s="1"/>
  <c r="L85" i="24" s="1"/>
  <c r="P85" i="24" s="1"/>
  <c r="D85" i="24"/>
  <c r="F85" i="24" s="1"/>
  <c r="G85" i="24" s="1"/>
  <c r="M85" i="24" s="1"/>
  <c r="N85" i="24" s="1"/>
  <c r="I84" i="24"/>
  <c r="K84" i="24" s="1"/>
  <c r="L84" i="24" s="1"/>
  <c r="P84" i="24" s="1"/>
  <c r="D84" i="24"/>
  <c r="F84" i="24" s="1"/>
  <c r="G84" i="24" s="1"/>
  <c r="I83" i="24"/>
  <c r="K83" i="24" s="1"/>
  <c r="L83" i="24" s="1"/>
  <c r="P83" i="24" s="1"/>
  <c r="D83" i="24"/>
  <c r="F83" i="24" s="1"/>
  <c r="G83" i="24" s="1"/>
  <c r="I82" i="24"/>
  <c r="K82" i="24" s="1"/>
  <c r="L82" i="24" s="1"/>
  <c r="P82" i="24" s="1"/>
  <c r="D82" i="24"/>
  <c r="F82" i="24" s="1"/>
  <c r="G82" i="24" s="1"/>
  <c r="M82" i="24" s="1"/>
  <c r="N82" i="24" s="1"/>
  <c r="I81" i="24"/>
  <c r="K81" i="24" s="1"/>
  <c r="L81" i="24" s="1"/>
  <c r="P81" i="24" s="1"/>
  <c r="D81" i="24"/>
  <c r="F81" i="24" s="1"/>
  <c r="G81" i="24" s="1"/>
  <c r="M81" i="24" s="1"/>
  <c r="N81" i="24" s="1"/>
  <c r="I80" i="24"/>
  <c r="K80" i="24" s="1"/>
  <c r="L80" i="24" s="1"/>
  <c r="P80" i="24" s="1"/>
  <c r="D80" i="24"/>
  <c r="F80" i="24" s="1"/>
  <c r="G80" i="24" s="1"/>
  <c r="I79" i="24"/>
  <c r="K79" i="24" s="1"/>
  <c r="L79" i="24" s="1"/>
  <c r="P79" i="24" s="1"/>
  <c r="F79" i="24"/>
  <c r="G79" i="24" s="1"/>
  <c r="D79" i="24"/>
  <c r="B79" i="24"/>
  <c r="B80" i="24" s="1"/>
  <c r="B81" i="24" s="1"/>
  <c r="B82" i="24" s="1"/>
  <c r="B83" i="24" s="1"/>
  <c r="B84" i="24" s="1"/>
  <c r="B85" i="24" s="1"/>
  <c r="B86" i="24" s="1"/>
  <c r="B87" i="24" s="1"/>
  <c r="B88" i="24" s="1"/>
  <c r="B89" i="24" s="1"/>
  <c r="B90" i="24" s="1"/>
  <c r="B91" i="24" s="1"/>
  <c r="B92" i="24" s="1"/>
  <c r="B93" i="24" s="1"/>
  <c r="B94" i="24" s="1"/>
  <c r="B95" i="24" s="1"/>
  <c r="B96" i="24" s="1"/>
  <c r="B97" i="24" s="1"/>
  <c r="B98" i="24" s="1"/>
  <c r="B99" i="24" s="1"/>
  <c r="B100" i="24" s="1"/>
  <c r="B101" i="24" s="1"/>
  <c r="B102" i="24" s="1"/>
  <c r="B103" i="24" s="1"/>
  <c r="B104" i="24" s="1"/>
  <c r="B105" i="24" s="1"/>
  <c r="B106" i="24" s="1"/>
  <c r="B107" i="24" s="1"/>
  <c r="B108" i="24" s="1"/>
  <c r="B109" i="24" s="1"/>
  <c r="I78" i="24"/>
  <c r="K78" i="24" s="1"/>
  <c r="L78" i="24" s="1"/>
  <c r="P78" i="24" s="1"/>
  <c r="D78" i="24"/>
  <c r="F78" i="24" s="1"/>
  <c r="G78" i="24" s="1"/>
  <c r="M78" i="24" s="1"/>
  <c r="N78" i="24" s="1"/>
  <c r="D109" i="25"/>
  <c r="F109" i="25" s="1"/>
  <c r="D108" i="25"/>
  <c r="F108" i="25" s="1"/>
  <c r="I108" i="25" s="1"/>
  <c r="O108" i="25" s="1"/>
  <c r="A108" i="25"/>
  <c r="A109" i="25" s="1"/>
  <c r="D107" i="25"/>
  <c r="F107" i="25" s="1"/>
  <c r="D106" i="25"/>
  <c r="F106" i="25" s="1"/>
  <c r="D105" i="25"/>
  <c r="F105" i="25" s="1"/>
  <c r="D104" i="25"/>
  <c r="F104" i="25" s="1"/>
  <c r="D103" i="25"/>
  <c r="F103" i="25" s="1"/>
  <c r="D102" i="25"/>
  <c r="F102" i="25" s="1"/>
  <c r="D101" i="25"/>
  <c r="F101" i="25" s="1"/>
  <c r="D100" i="25"/>
  <c r="F100" i="25" s="1"/>
  <c r="D99" i="25"/>
  <c r="F99" i="25" s="1"/>
  <c r="D98" i="25"/>
  <c r="F98" i="25" s="1"/>
  <c r="D97" i="25"/>
  <c r="F97" i="25" s="1"/>
  <c r="D96" i="25"/>
  <c r="F96" i="25" s="1"/>
  <c r="D95" i="25"/>
  <c r="F95" i="25" s="1"/>
  <c r="D94" i="25"/>
  <c r="F94" i="25" s="1"/>
  <c r="D93" i="25"/>
  <c r="F93" i="25" s="1"/>
  <c r="D92" i="25"/>
  <c r="F92" i="25" s="1"/>
  <c r="D91" i="25"/>
  <c r="F91" i="25" s="1"/>
  <c r="D90" i="25"/>
  <c r="F90" i="25" s="1"/>
  <c r="D89" i="25"/>
  <c r="F89" i="25" s="1"/>
  <c r="D88" i="25"/>
  <c r="F88" i="25" s="1"/>
  <c r="D87" i="25"/>
  <c r="F87" i="25" s="1"/>
  <c r="D86" i="25"/>
  <c r="F86" i="25" s="1"/>
  <c r="G86" i="25" s="1"/>
  <c r="M86" i="25" s="1"/>
  <c r="D85" i="25"/>
  <c r="F85" i="25" s="1"/>
  <c r="D84" i="25"/>
  <c r="F84" i="25" s="1"/>
  <c r="D83" i="25"/>
  <c r="F83" i="25" s="1"/>
  <c r="D82" i="25"/>
  <c r="F82" i="25" s="1"/>
  <c r="G82" i="25" s="1"/>
  <c r="M82" i="25" s="1"/>
  <c r="D81" i="25"/>
  <c r="F81" i="25" s="1"/>
  <c r="D80" i="25"/>
  <c r="F80" i="25" s="1"/>
  <c r="D79" i="25"/>
  <c r="F79" i="25" s="1"/>
  <c r="B79" i="25"/>
  <c r="B80" i="25" s="1"/>
  <c r="B81" i="25" s="1"/>
  <c r="B82" i="25" s="1"/>
  <c r="B83" i="25" s="1"/>
  <c r="B84" i="25" s="1"/>
  <c r="B85" i="25" s="1"/>
  <c r="B86" i="25" s="1"/>
  <c r="B87" i="25" s="1"/>
  <c r="B88" i="25" s="1"/>
  <c r="B89" i="25" s="1"/>
  <c r="B90" i="25" s="1"/>
  <c r="B91" i="25" s="1"/>
  <c r="B92" i="25" s="1"/>
  <c r="B93" i="25" s="1"/>
  <c r="B94" i="25" s="1"/>
  <c r="B95" i="25" s="1"/>
  <c r="B96" i="25" s="1"/>
  <c r="B97" i="25" s="1"/>
  <c r="B98" i="25" s="1"/>
  <c r="B99" i="25" s="1"/>
  <c r="B100" i="25" s="1"/>
  <c r="B101" i="25" s="1"/>
  <c r="B102" i="25" s="1"/>
  <c r="B103" i="25" s="1"/>
  <c r="B104" i="25" s="1"/>
  <c r="B105" i="25" s="1"/>
  <c r="B106" i="25" s="1"/>
  <c r="B107" i="25" s="1"/>
  <c r="B108" i="25" s="1"/>
  <c r="B109" i="25" s="1"/>
  <c r="D78" i="25"/>
  <c r="F78" i="25" s="1"/>
  <c r="J113" i="14"/>
  <c r="N113" i="14" s="1"/>
  <c r="R113" i="14" s="1"/>
  <c r="G113" i="14"/>
  <c r="D113" i="14"/>
  <c r="H113" i="14" s="1"/>
  <c r="J112" i="14"/>
  <c r="N112" i="14" s="1"/>
  <c r="R112" i="14" s="1"/>
  <c r="G112" i="14"/>
  <c r="D112" i="14"/>
  <c r="A112" i="14"/>
  <c r="A113" i="14" s="1"/>
  <c r="J111" i="14"/>
  <c r="N111" i="14" s="1"/>
  <c r="R111" i="14" s="1"/>
  <c r="G111" i="14"/>
  <c r="D111" i="14"/>
  <c r="H111" i="14" s="1"/>
  <c r="O111" i="14" s="1"/>
  <c r="P111" i="14" s="1"/>
  <c r="J110" i="14"/>
  <c r="N110" i="14" s="1"/>
  <c r="R110" i="14" s="1"/>
  <c r="G110" i="14"/>
  <c r="D110" i="14"/>
  <c r="H110" i="14" s="1"/>
  <c r="J109" i="14"/>
  <c r="N109" i="14" s="1"/>
  <c r="R109" i="14" s="1"/>
  <c r="G109" i="14"/>
  <c r="D109" i="14"/>
  <c r="H109" i="14" s="1"/>
  <c r="O109" i="14" s="1"/>
  <c r="P109" i="14" s="1"/>
  <c r="J108" i="14"/>
  <c r="N108" i="14" s="1"/>
  <c r="R108" i="14" s="1"/>
  <c r="G108" i="14"/>
  <c r="D108" i="14"/>
  <c r="H108" i="14" s="1"/>
  <c r="O108" i="14" s="1"/>
  <c r="P108" i="14" s="1"/>
  <c r="J107" i="14"/>
  <c r="N107" i="14" s="1"/>
  <c r="R107" i="14" s="1"/>
  <c r="G107" i="14"/>
  <c r="D107" i="14"/>
  <c r="H107" i="14" s="1"/>
  <c r="O107" i="14" s="1"/>
  <c r="P107" i="14" s="1"/>
  <c r="J106" i="14"/>
  <c r="N106" i="14" s="1"/>
  <c r="R106" i="14" s="1"/>
  <c r="G106" i="14"/>
  <c r="D106" i="14"/>
  <c r="H106" i="14" s="1"/>
  <c r="J105" i="14"/>
  <c r="N105" i="14" s="1"/>
  <c r="R105" i="14" s="1"/>
  <c r="G105" i="14"/>
  <c r="D105" i="14"/>
  <c r="H105" i="14" s="1"/>
  <c r="O105" i="14" s="1"/>
  <c r="P105" i="14" s="1"/>
  <c r="J104" i="14"/>
  <c r="N104" i="14" s="1"/>
  <c r="R104" i="14" s="1"/>
  <c r="G104" i="14"/>
  <c r="H104" i="14" s="1"/>
  <c r="O104" i="14" s="1"/>
  <c r="P104" i="14" s="1"/>
  <c r="D104" i="14"/>
  <c r="J103" i="14"/>
  <c r="N103" i="14" s="1"/>
  <c r="R103" i="14" s="1"/>
  <c r="G103" i="14"/>
  <c r="D103" i="14"/>
  <c r="H103" i="14" s="1"/>
  <c r="O103" i="14" s="1"/>
  <c r="P103" i="14" s="1"/>
  <c r="J102" i="14"/>
  <c r="N102" i="14" s="1"/>
  <c r="R102" i="14" s="1"/>
  <c r="G102" i="14"/>
  <c r="D102" i="14"/>
  <c r="H102" i="14" s="1"/>
  <c r="J101" i="14"/>
  <c r="N101" i="14" s="1"/>
  <c r="R101" i="14" s="1"/>
  <c r="H101" i="14"/>
  <c r="O101" i="14" s="1"/>
  <c r="P101" i="14" s="1"/>
  <c r="G101" i="14"/>
  <c r="D101" i="14"/>
  <c r="J100" i="14"/>
  <c r="N100" i="14" s="1"/>
  <c r="R100" i="14" s="1"/>
  <c r="H100" i="14"/>
  <c r="O100" i="14" s="1"/>
  <c r="P100" i="14" s="1"/>
  <c r="G100" i="14"/>
  <c r="D100" i="14"/>
  <c r="J99" i="14"/>
  <c r="N99" i="14" s="1"/>
  <c r="R99" i="14" s="1"/>
  <c r="G99" i="14"/>
  <c r="D99" i="14"/>
  <c r="H99" i="14" s="1"/>
  <c r="O99" i="14" s="1"/>
  <c r="P99" i="14" s="1"/>
  <c r="J98" i="14"/>
  <c r="N98" i="14" s="1"/>
  <c r="R98" i="14" s="1"/>
  <c r="H98" i="14"/>
  <c r="G98" i="14"/>
  <c r="D98" i="14"/>
  <c r="J97" i="14"/>
  <c r="N97" i="14" s="1"/>
  <c r="R97" i="14" s="1"/>
  <c r="G97" i="14"/>
  <c r="D97" i="14"/>
  <c r="H97" i="14" s="1"/>
  <c r="O97" i="14" s="1"/>
  <c r="P97" i="14" s="1"/>
  <c r="J96" i="14"/>
  <c r="N96" i="14" s="1"/>
  <c r="R96" i="14" s="1"/>
  <c r="G96" i="14"/>
  <c r="D96" i="14"/>
  <c r="H96" i="14" s="1"/>
  <c r="O96" i="14" s="1"/>
  <c r="P96" i="14" s="1"/>
  <c r="J95" i="14"/>
  <c r="N95" i="14" s="1"/>
  <c r="R95" i="14" s="1"/>
  <c r="H95" i="14"/>
  <c r="G95" i="14"/>
  <c r="D95" i="14"/>
  <c r="J94" i="14"/>
  <c r="N94" i="14" s="1"/>
  <c r="R94" i="14" s="1"/>
  <c r="G94" i="14"/>
  <c r="D94" i="14"/>
  <c r="H94" i="14" s="1"/>
  <c r="O94" i="14" s="1"/>
  <c r="P94" i="14" s="1"/>
  <c r="J93" i="14"/>
  <c r="N93" i="14" s="1"/>
  <c r="R93" i="14" s="1"/>
  <c r="G93" i="14"/>
  <c r="D93" i="14"/>
  <c r="H93" i="14" s="1"/>
  <c r="J92" i="14"/>
  <c r="N92" i="14" s="1"/>
  <c r="R92" i="14" s="1"/>
  <c r="H92" i="14"/>
  <c r="G92" i="14"/>
  <c r="D92" i="14"/>
  <c r="J91" i="14"/>
  <c r="N91" i="14" s="1"/>
  <c r="R91" i="14" s="1"/>
  <c r="G91" i="14"/>
  <c r="D91" i="14"/>
  <c r="H91" i="14" s="1"/>
  <c r="J90" i="14"/>
  <c r="N90" i="14" s="1"/>
  <c r="R90" i="14" s="1"/>
  <c r="G90" i="14"/>
  <c r="D90" i="14"/>
  <c r="H90" i="14" s="1"/>
  <c r="O90" i="14" s="1"/>
  <c r="P90" i="14" s="1"/>
  <c r="J89" i="14"/>
  <c r="N89" i="14" s="1"/>
  <c r="R89" i="14" s="1"/>
  <c r="H89" i="14"/>
  <c r="G89" i="14"/>
  <c r="D89" i="14"/>
  <c r="J88" i="14"/>
  <c r="N88" i="14" s="1"/>
  <c r="R88" i="14" s="1"/>
  <c r="G88" i="14"/>
  <c r="D88" i="14"/>
  <c r="H88" i="14" s="1"/>
  <c r="O88" i="14" s="1"/>
  <c r="P88" i="14" s="1"/>
  <c r="J87" i="14"/>
  <c r="N87" i="14" s="1"/>
  <c r="R87" i="14" s="1"/>
  <c r="G87" i="14"/>
  <c r="D87" i="14"/>
  <c r="H87" i="14" s="1"/>
  <c r="J86" i="14"/>
  <c r="N86" i="14" s="1"/>
  <c r="R86" i="14" s="1"/>
  <c r="H86" i="14"/>
  <c r="G86" i="14"/>
  <c r="D86" i="14"/>
  <c r="J85" i="14"/>
  <c r="N85" i="14" s="1"/>
  <c r="R85" i="14" s="1"/>
  <c r="G85" i="14"/>
  <c r="D85" i="14"/>
  <c r="H85" i="14" s="1"/>
  <c r="J84" i="14"/>
  <c r="N84" i="14" s="1"/>
  <c r="R84" i="14" s="1"/>
  <c r="G84" i="14"/>
  <c r="D84" i="14"/>
  <c r="H84" i="14" s="1"/>
  <c r="O84" i="14" s="1"/>
  <c r="P84" i="14" s="1"/>
  <c r="J83" i="14"/>
  <c r="N83" i="14" s="1"/>
  <c r="R83" i="14" s="1"/>
  <c r="H83" i="14"/>
  <c r="G83" i="14"/>
  <c r="D83" i="14"/>
  <c r="B83" i="14"/>
  <c r="B84" i="14" s="1"/>
  <c r="B85" i="14" s="1"/>
  <c r="B86" i="14" s="1"/>
  <c r="B87" i="14" s="1"/>
  <c r="B88" i="14" s="1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B104" i="14" s="1"/>
  <c r="B105" i="14" s="1"/>
  <c r="B106" i="14" s="1"/>
  <c r="B107" i="14" s="1"/>
  <c r="B108" i="14" s="1"/>
  <c r="B109" i="14" s="1"/>
  <c r="B110" i="14" s="1"/>
  <c r="B111" i="14" s="1"/>
  <c r="B112" i="14" s="1"/>
  <c r="B113" i="14" s="1"/>
  <c r="J82" i="14"/>
  <c r="N82" i="14" s="1"/>
  <c r="R82" i="14" s="1"/>
  <c r="G82" i="14"/>
  <c r="D82" i="14"/>
  <c r="H82" i="14" s="1"/>
  <c r="O82" i="14" s="1"/>
  <c r="P82" i="14" s="1"/>
  <c r="J146" i="31"/>
  <c r="F146" i="31"/>
  <c r="J145" i="31"/>
  <c r="F145" i="31"/>
  <c r="J144" i="31"/>
  <c r="F144" i="31"/>
  <c r="J143" i="31"/>
  <c r="F143" i="31"/>
  <c r="J142" i="31"/>
  <c r="F142" i="31"/>
  <c r="J141" i="31"/>
  <c r="F141" i="31"/>
  <c r="J140" i="31"/>
  <c r="F140" i="31"/>
  <c r="J139" i="31"/>
  <c r="F139" i="31"/>
  <c r="J138" i="31"/>
  <c r="F138" i="31"/>
  <c r="J137" i="31"/>
  <c r="F137" i="31"/>
  <c r="J136" i="31"/>
  <c r="F136" i="31"/>
  <c r="J135" i="31"/>
  <c r="F135" i="31"/>
  <c r="P134" i="31"/>
  <c r="J134" i="31"/>
  <c r="F134" i="31"/>
  <c r="J133" i="31"/>
  <c r="F133" i="31"/>
  <c r="J132" i="31"/>
  <c r="F132" i="31"/>
  <c r="J131" i="31"/>
  <c r="F131" i="31"/>
  <c r="J130" i="31"/>
  <c r="F130" i="31"/>
  <c r="P129" i="31"/>
  <c r="P132" i="31" s="1"/>
  <c r="J129" i="31"/>
  <c r="F129" i="31"/>
  <c r="P128" i="31"/>
  <c r="J128" i="31"/>
  <c r="F128" i="31"/>
  <c r="J127" i="31"/>
  <c r="F127" i="31"/>
  <c r="J126" i="31"/>
  <c r="F126" i="31"/>
  <c r="J125" i="31"/>
  <c r="F125" i="31"/>
  <c r="J124" i="31"/>
  <c r="F124" i="31"/>
  <c r="J123" i="31"/>
  <c r="F123" i="31"/>
  <c r="F122" i="31"/>
  <c r="J119" i="31"/>
  <c r="I119" i="31"/>
  <c r="E119" i="31"/>
  <c r="F119" i="31" s="1"/>
  <c r="J118" i="31"/>
  <c r="F118" i="31"/>
  <c r="C118" i="31"/>
  <c r="J117" i="31"/>
  <c r="K117" i="31" s="1"/>
  <c r="D117" i="31"/>
  <c r="F117" i="31" s="1"/>
  <c r="G117" i="31" s="1"/>
  <c r="K116" i="31"/>
  <c r="F116" i="31"/>
  <c r="G116" i="31" s="1"/>
  <c r="K115" i="31"/>
  <c r="G115" i="31"/>
  <c r="F115" i="31"/>
  <c r="I38" i="19"/>
  <c r="M88" i="24" l="1"/>
  <c r="N88" i="24" s="1"/>
  <c r="I123" i="27"/>
  <c r="M123" i="27" s="1"/>
  <c r="X123" i="27" s="1"/>
  <c r="O86" i="14"/>
  <c r="P86" i="14" s="1"/>
  <c r="O92" i="14"/>
  <c r="P92" i="14" s="1"/>
  <c r="H112" i="14"/>
  <c r="O112" i="14" s="1"/>
  <c r="P112" i="14" s="1"/>
  <c r="Y135" i="27"/>
  <c r="J119" i="27"/>
  <c r="N119" i="27" s="1"/>
  <c r="Y119" i="27" s="1"/>
  <c r="O113" i="14"/>
  <c r="P113" i="14" s="1"/>
  <c r="M104" i="24"/>
  <c r="N104" i="24" s="1"/>
  <c r="I116" i="27"/>
  <c r="M116" i="27" s="1"/>
  <c r="X116" i="27" s="1"/>
  <c r="I138" i="27"/>
  <c r="M138" i="27" s="1"/>
  <c r="X138" i="27" s="1"/>
  <c r="Y139" i="27"/>
  <c r="M84" i="24"/>
  <c r="N84" i="24" s="1"/>
  <c r="I131" i="27"/>
  <c r="M131" i="27" s="1"/>
  <c r="X131" i="27" s="1"/>
  <c r="R114" i="14"/>
  <c r="P110" i="24"/>
  <c r="M100" i="24"/>
  <c r="N100" i="24" s="1"/>
  <c r="P116" i="27"/>
  <c r="I122" i="27"/>
  <c r="M122" i="27" s="1"/>
  <c r="X122" i="27" s="1"/>
  <c r="K128" i="27"/>
  <c r="O128" i="27" s="1"/>
  <c r="Z128" i="27" s="1"/>
  <c r="K133" i="27"/>
  <c r="O133" i="27" s="1"/>
  <c r="Z133" i="27" s="1"/>
  <c r="I118" i="27"/>
  <c r="M118" i="27" s="1"/>
  <c r="X118" i="27" s="1"/>
  <c r="I121" i="27"/>
  <c r="M121" i="27" s="1"/>
  <c r="X121" i="27" s="1"/>
  <c r="H129" i="27"/>
  <c r="L129" i="27" s="1"/>
  <c r="W129" i="27" s="1"/>
  <c r="I130" i="27"/>
  <c r="M130" i="27" s="1"/>
  <c r="X130" i="27" s="1"/>
  <c r="I137" i="27"/>
  <c r="M137" i="27" s="1"/>
  <c r="X137" i="27" s="1"/>
  <c r="I117" i="27"/>
  <c r="M117" i="27" s="1"/>
  <c r="X117" i="27" s="1"/>
  <c r="K132" i="27"/>
  <c r="O132" i="27" s="1"/>
  <c r="Z132" i="27" s="1"/>
  <c r="K140" i="27"/>
  <c r="O140" i="27" s="1"/>
  <c r="Z140" i="27" s="1"/>
  <c r="P117" i="27"/>
  <c r="J127" i="27"/>
  <c r="N127" i="27" s="1"/>
  <c r="Y127" i="27" s="1"/>
  <c r="K111" i="27"/>
  <c r="O111" i="27" s="1"/>
  <c r="Z111" i="27" s="1"/>
  <c r="K112" i="27"/>
  <c r="O112" i="27" s="1"/>
  <c r="Z112" i="27" s="1"/>
  <c r="J115" i="27"/>
  <c r="N115" i="27" s="1"/>
  <c r="Y115" i="27" s="1"/>
  <c r="K116" i="27"/>
  <c r="O116" i="27" s="1"/>
  <c r="Z116" i="27" s="1"/>
  <c r="H118" i="27"/>
  <c r="L118" i="27" s="1"/>
  <c r="W118" i="27" s="1"/>
  <c r="J121" i="27"/>
  <c r="N121" i="27" s="1"/>
  <c r="Y121" i="27" s="1"/>
  <c r="K122" i="27"/>
  <c r="O122" i="27" s="1"/>
  <c r="Z122" i="27" s="1"/>
  <c r="P122" i="27"/>
  <c r="J129" i="27"/>
  <c r="N129" i="27" s="1"/>
  <c r="Y129" i="27" s="1"/>
  <c r="J130" i="27"/>
  <c r="N130" i="27" s="1"/>
  <c r="Y130" i="27" s="1"/>
  <c r="P130" i="27"/>
  <c r="J137" i="27"/>
  <c r="N137" i="27" s="1"/>
  <c r="Y137" i="27" s="1"/>
  <c r="K138" i="27"/>
  <c r="O138" i="27" s="1"/>
  <c r="Z138" i="27" s="1"/>
  <c r="P138" i="27"/>
  <c r="I113" i="27"/>
  <c r="M113" i="27" s="1"/>
  <c r="X113" i="27" s="1"/>
  <c r="H126" i="27"/>
  <c r="L126" i="27" s="1"/>
  <c r="W126" i="27" s="1"/>
  <c r="P126" i="27"/>
  <c r="H134" i="27"/>
  <c r="L134" i="27" s="1"/>
  <c r="W134" i="27" s="1"/>
  <c r="P134" i="27"/>
  <c r="H142" i="27"/>
  <c r="L142" i="27" s="1"/>
  <c r="W142" i="27" s="1"/>
  <c r="P142" i="27"/>
  <c r="J111" i="27"/>
  <c r="N111" i="27" s="1"/>
  <c r="Y111" i="27" s="1"/>
  <c r="H112" i="27"/>
  <c r="L112" i="27" s="1"/>
  <c r="W112" i="27" s="1"/>
  <c r="K115" i="27"/>
  <c r="O115" i="27" s="1"/>
  <c r="Z115" i="27" s="1"/>
  <c r="H116" i="27"/>
  <c r="L116" i="27" s="1"/>
  <c r="W116" i="27" s="1"/>
  <c r="J117" i="27"/>
  <c r="N117" i="27" s="1"/>
  <c r="Y117" i="27" s="1"/>
  <c r="K118" i="27"/>
  <c r="O118" i="27" s="1"/>
  <c r="Z118" i="27" s="1"/>
  <c r="K121" i="27"/>
  <c r="O121" i="27" s="1"/>
  <c r="Z121" i="27" s="1"/>
  <c r="H122" i="27"/>
  <c r="L122" i="27" s="1"/>
  <c r="W122" i="27" s="1"/>
  <c r="I126" i="27"/>
  <c r="M126" i="27" s="1"/>
  <c r="X126" i="27" s="1"/>
  <c r="K129" i="27"/>
  <c r="O129" i="27" s="1"/>
  <c r="Z129" i="27" s="1"/>
  <c r="H130" i="27"/>
  <c r="L130" i="27" s="1"/>
  <c r="W130" i="27" s="1"/>
  <c r="I134" i="27"/>
  <c r="M134" i="27" s="1"/>
  <c r="X134" i="27" s="1"/>
  <c r="K137" i="27"/>
  <c r="O137" i="27" s="1"/>
  <c r="Z137" i="27" s="1"/>
  <c r="H138" i="27"/>
  <c r="L138" i="27" s="1"/>
  <c r="W138" i="27" s="1"/>
  <c r="I142" i="27"/>
  <c r="M142" i="27" s="1"/>
  <c r="X142" i="27" s="1"/>
  <c r="G118" i="31"/>
  <c r="I114" i="27"/>
  <c r="M114" i="27" s="1"/>
  <c r="X114" i="27" s="1"/>
  <c r="P114" i="27"/>
  <c r="H114" i="27"/>
  <c r="L114" i="27" s="1"/>
  <c r="W114" i="27" s="1"/>
  <c r="K114" i="27"/>
  <c r="O114" i="27" s="1"/>
  <c r="Z114" i="27" s="1"/>
  <c r="K125" i="27"/>
  <c r="O125" i="27" s="1"/>
  <c r="Z125" i="27" s="1"/>
  <c r="H125" i="27"/>
  <c r="L125" i="27" s="1"/>
  <c r="W125" i="27" s="1"/>
  <c r="K124" i="27"/>
  <c r="O124" i="27" s="1"/>
  <c r="Z124" i="27" s="1"/>
  <c r="J124" i="27"/>
  <c r="N124" i="27" s="1"/>
  <c r="Y124" i="27" s="1"/>
  <c r="I111" i="27"/>
  <c r="M111" i="27" s="1"/>
  <c r="X111" i="27" s="1"/>
  <c r="H111" i="27"/>
  <c r="L111" i="27" s="1"/>
  <c r="W111" i="27" s="1"/>
  <c r="J114" i="27"/>
  <c r="N114" i="27" s="1"/>
  <c r="Y114" i="27" s="1"/>
  <c r="I115" i="27"/>
  <c r="M115" i="27" s="1"/>
  <c r="X115" i="27" s="1"/>
  <c r="H115" i="27"/>
  <c r="L115" i="27" s="1"/>
  <c r="J113" i="27"/>
  <c r="N113" i="27" s="1"/>
  <c r="Y113" i="27" s="1"/>
  <c r="P119" i="27"/>
  <c r="H119" i="27"/>
  <c r="L119" i="27" s="1"/>
  <c r="W119" i="27" s="1"/>
  <c r="K119" i="27"/>
  <c r="O119" i="27" s="1"/>
  <c r="Z119" i="27" s="1"/>
  <c r="I120" i="27"/>
  <c r="M120" i="27" s="1"/>
  <c r="X120" i="27" s="1"/>
  <c r="P120" i="27"/>
  <c r="H120" i="27"/>
  <c r="L120" i="27" s="1"/>
  <c r="W120" i="27" s="1"/>
  <c r="P127" i="27"/>
  <c r="H127" i="27"/>
  <c r="L127" i="27" s="1"/>
  <c r="W127" i="27" s="1"/>
  <c r="K127" i="27"/>
  <c r="O127" i="27" s="1"/>
  <c r="Z127" i="27" s="1"/>
  <c r="I128" i="27"/>
  <c r="M128" i="27" s="1"/>
  <c r="X128" i="27" s="1"/>
  <c r="P128" i="27"/>
  <c r="H128" i="27"/>
  <c r="L128" i="27" s="1"/>
  <c r="W128" i="27" s="1"/>
  <c r="J132" i="27"/>
  <c r="N132" i="27" s="1"/>
  <c r="Y132" i="27" s="1"/>
  <c r="H133" i="27"/>
  <c r="L133" i="27" s="1"/>
  <c r="W133" i="27" s="1"/>
  <c r="P135" i="27"/>
  <c r="H135" i="27"/>
  <c r="L135" i="27" s="1"/>
  <c r="W135" i="27" s="1"/>
  <c r="K135" i="27"/>
  <c r="O135" i="27" s="1"/>
  <c r="Z135" i="27" s="1"/>
  <c r="I136" i="27"/>
  <c r="M136" i="27" s="1"/>
  <c r="X136" i="27" s="1"/>
  <c r="P136" i="27"/>
  <c r="H136" i="27"/>
  <c r="L136" i="27" s="1"/>
  <c r="W136" i="27" s="1"/>
  <c r="J140" i="27"/>
  <c r="N140" i="27" s="1"/>
  <c r="Y140" i="27" s="1"/>
  <c r="H141" i="27"/>
  <c r="L141" i="27" s="1"/>
  <c r="W141" i="27" s="1"/>
  <c r="J112" i="27"/>
  <c r="N112" i="27" s="1"/>
  <c r="K113" i="27"/>
  <c r="O113" i="27" s="1"/>
  <c r="Z113" i="27" s="1"/>
  <c r="J116" i="27"/>
  <c r="N116" i="27" s="1"/>
  <c r="H117" i="27"/>
  <c r="L117" i="27" s="1"/>
  <c r="W117" i="27" s="1"/>
  <c r="K141" i="27"/>
  <c r="O141" i="27" s="1"/>
  <c r="Z141" i="27" s="1"/>
  <c r="H113" i="27"/>
  <c r="L113" i="27" s="1"/>
  <c r="I119" i="27"/>
  <c r="M119" i="27" s="1"/>
  <c r="X119" i="27" s="1"/>
  <c r="J120" i="27"/>
  <c r="N120" i="27" s="1"/>
  <c r="Y120" i="27" s="1"/>
  <c r="H121" i="27"/>
  <c r="L121" i="27" s="1"/>
  <c r="P123" i="27"/>
  <c r="H123" i="27"/>
  <c r="L123" i="27" s="1"/>
  <c r="W123" i="27" s="1"/>
  <c r="K123" i="27"/>
  <c r="O123" i="27" s="1"/>
  <c r="Z123" i="27" s="1"/>
  <c r="I124" i="27"/>
  <c r="M124" i="27" s="1"/>
  <c r="X124" i="27" s="1"/>
  <c r="P124" i="27"/>
  <c r="H124" i="27"/>
  <c r="L124" i="27" s="1"/>
  <c r="W124" i="27" s="1"/>
  <c r="J125" i="27"/>
  <c r="N125" i="27" s="1"/>
  <c r="Y125" i="27" s="1"/>
  <c r="I127" i="27"/>
  <c r="M127" i="27" s="1"/>
  <c r="X127" i="27" s="1"/>
  <c r="J128" i="27"/>
  <c r="N128" i="27" s="1"/>
  <c r="Y128" i="27" s="1"/>
  <c r="P131" i="27"/>
  <c r="H131" i="27"/>
  <c r="L131" i="27" s="1"/>
  <c r="W131" i="27" s="1"/>
  <c r="K131" i="27"/>
  <c r="O131" i="27" s="1"/>
  <c r="Z131" i="27" s="1"/>
  <c r="I132" i="27"/>
  <c r="M132" i="27" s="1"/>
  <c r="X132" i="27" s="1"/>
  <c r="P132" i="27"/>
  <c r="H132" i="27"/>
  <c r="L132" i="27" s="1"/>
  <c r="W132" i="27" s="1"/>
  <c r="J133" i="27"/>
  <c r="N133" i="27" s="1"/>
  <c r="Y133" i="27" s="1"/>
  <c r="I135" i="27"/>
  <c r="M135" i="27" s="1"/>
  <c r="X135" i="27" s="1"/>
  <c r="J136" i="27"/>
  <c r="N136" i="27" s="1"/>
  <c r="Y136" i="27" s="1"/>
  <c r="H137" i="27"/>
  <c r="L137" i="27" s="1"/>
  <c r="W137" i="27" s="1"/>
  <c r="P139" i="27"/>
  <c r="H139" i="27"/>
  <c r="L139" i="27" s="1"/>
  <c r="W139" i="27" s="1"/>
  <c r="K139" i="27"/>
  <c r="O139" i="27" s="1"/>
  <c r="Z139" i="27" s="1"/>
  <c r="I140" i="27"/>
  <c r="M140" i="27" s="1"/>
  <c r="X140" i="27" s="1"/>
  <c r="P140" i="27"/>
  <c r="H140" i="27"/>
  <c r="L140" i="27" s="1"/>
  <c r="W140" i="27" s="1"/>
  <c r="J141" i="27"/>
  <c r="N141" i="27" s="1"/>
  <c r="Y141" i="27" s="1"/>
  <c r="J118" i="27"/>
  <c r="N118" i="27" s="1"/>
  <c r="J122" i="27"/>
  <c r="N122" i="27" s="1"/>
  <c r="I125" i="27"/>
  <c r="M125" i="27" s="1"/>
  <c r="X125" i="27" s="1"/>
  <c r="J126" i="27"/>
  <c r="N126" i="27" s="1"/>
  <c r="Y126" i="27" s="1"/>
  <c r="I129" i="27"/>
  <c r="M129" i="27" s="1"/>
  <c r="I133" i="27"/>
  <c r="M133" i="27" s="1"/>
  <c r="X133" i="27" s="1"/>
  <c r="J134" i="27"/>
  <c r="N134" i="27" s="1"/>
  <c r="Y134" i="27" s="1"/>
  <c r="J138" i="27"/>
  <c r="N138" i="27" s="1"/>
  <c r="Y138" i="27" s="1"/>
  <c r="J142" i="27"/>
  <c r="N142" i="27" s="1"/>
  <c r="M91" i="24"/>
  <c r="N91" i="24" s="1"/>
  <c r="M87" i="24"/>
  <c r="N87" i="24" s="1"/>
  <c r="M103" i="24"/>
  <c r="N103" i="24" s="1"/>
  <c r="M80" i="24"/>
  <c r="N80" i="24" s="1"/>
  <c r="M83" i="24"/>
  <c r="N83" i="24" s="1"/>
  <c r="M96" i="24"/>
  <c r="N96" i="24" s="1"/>
  <c r="M99" i="24"/>
  <c r="N99" i="24" s="1"/>
  <c r="M79" i="24"/>
  <c r="N79" i="24" s="1"/>
  <c r="M92" i="24"/>
  <c r="N92" i="24" s="1"/>
  <c r="M93" i="24"/>
  <c r="N93" i="24" s="1"/>
  <c r="M95" i="24"/>
  <c r="N95" i="24" s="1"/>
  <c r="I81" i="25"/>
  <c r="O81" i="25" s="1"/>
  <c r="H81" i="25"/>
  <c r="N81" i="25" s="1"/>
  <c r="I85" i="25"/>
  <c r="O85" i="25" s="1"/>
  <c r="H85" i="25"/>
  <c r="N85" i="25" s="1"/>
  <c r="I89" i="25"/>
  <c r="O89" i="25" s="1"/>
  <c r="H89" i="25"/>
  <c r="N89" i="25" s="1"/>
  <c r="G92" i="25"/>
  <c r="M92" i="25" s="1"/>
  <c r="I92" i="25"/>
  <c r="O92" i="25" s="1"/>
  <c r="H92" i="25"/>
  <c r="N92" i="25" s="1"/>
  <c r="I96" i="25"/>
  <c r="O96" i="25" s="1"/>
  <c r="G96" i="25"/>
  <c r="M96" i="25" s="1"/>
  <c r="H96" i="25"/>
  <c r="N96" i="25" s="1"/>
  <c r="I100" i="25"/>
  <c r="O100" i="25" s="1"/>
  <c r="G100" i="25"/>
  <c r="H100" i="25"/>
  <c r="N100" i="25" s="1"/>
  <c r="I104" i="25"/>
  <c r="O104" i="25" s="1"/>
  <c r="H104" i="25"/>
  <c r="N104" i="25" s="1"/>
  <c r="G104" i="25"/>
  <c r="I80" i="25"/>
  <c r="O80" i="25" s="1"/>
  <c r="H80" i="25"/>
  <c r="N80" i="25" s="1"/>
  <c r="G81" i="25"/>
  <c r="I84" i="25"/>
  <c r="O84" i="25" s="1"/>
  <c r="H84" i="25"/>
  <c r="N84" i="25" s="1"/>
  <c r="G85" i="25"/>
  <c r="M85" i="25" s="1"/>
  <c r="I88" i="25"/>
  <c r="O88" i="25" s="1"/>
  <c r="H88" i="25"/>
  <c r="N88" i="25" s="1"/>
  <c r="G89" i="25"/>
  <c r="M89" i="25" s="1"/>
  <c r="I93" i="25"/>
  <c r="O93" i="25" s="1"/>
  <c r="H93" i="25"/>
  <c r="N93" i="25" s="1"/>
  <c r="G93" i="25"/>
  <c r="I97" i="25"/>
  <c r="O97" i="25" s="1"/>
  <c r="G97" i="25"/>
  <c r="M97" i="25" s="1"/>
  <c r="H97" i="25"/>
  <c r="N97" i="25" s="1"/>
  <c r="I101" i="25"/>
  <c r="O101" i="25" s="1"/>
  <c r="H101" i="25"/>
  <c r="N101" i="25" s="1"/>
  <c r="G101" i="25"/>
  <c r="M101" i="25" s="1"/>
  <c r="I105" i="25"/>
  <c r="O105" i="25" s="1"/>
  <c r="G105" i="25"/>
  <c r="H105" i="25"/>
  <c r="N105" i="25" s="1"/>
  <c r="I78" i="25"/>
  <c r="O78" i="25" s="1"/>
  <c r="H78" i="25"/>
  <c r="N78" i="25" s="1"/>
  <c r="I79" i="25"/>
  <c r="O79" i="25" s="1"/>
  <c r="H79" i="25"/>
  <c r="N79" i="25" s="1"/>
  <c r="G80" i="25"/>
  <c r="I83" i="25"/>
  <c r="O83" i="25" s="1"/>
  <c r="H83" i="25"/>
  <c r="N83" i="25" s="1"/>
  <c r="G84" i="25"/>
  <c r="M84" i="25" s="1"/>
  <c r="I87" i="25"/>
  <c r="O87" i="25" s="1"/>
  <c r="H87" i="25"/>
  <c r="N87" i="25" s="1"/>
  <c r="G88" i="25"/>
  <c r="I90" i="25"/>
  <c r="O90" i="25" s="1"/>
  <c r="H90" i="25"/>
  <c r="N90" i="25" s="1"/>
  <c r="G90" i="25"/>
  <c r="I94" i="25"/>
  <c r="O94" i="25" s="1"/>
  <c r="H94" i="25"/>
  <c r="N94" i="25" s="1"/>
  <c r="G94" i="25"/>
  <c r="M94" i="25" s="1"/>
  <c r="I98" i="25"/>
  <c r="O98" i="25" s="1"/>
  <c r="G98" i="25"/>
  <c r="H98" i="25"/>
  <c r="N98" i="25" s="1"/>
  <c r="I102" i="25"/>
  <c r="O102" i="25" s="1"/>
  <c r="G102" i="25"/>
  <c r="M102" i="25" s="1"/>
  <c r="H102" i="25"/>
  <c r="N102" i="25" s="1"/>
  <c r="I106" i="25"/>
  <c r="O106" i="25" s="1"/>
  <c r="G106" i="25"/>
  <c r="M106" i="25" s="1"/>
  <c r="H106" i="25"/>
  <c r="N106" i="25" s="1"/>
  <c r="G78" i="25"/>
  <c r="G79" i="25"/>
  <c r="M79" i="25" s="1"/>
  <c r="I82" i="25"/>
  <c r="O82" i="25" s="1"/>
  <c r="H82" i="25"/>
  <c r="G83" i="25"/>
  <c r="I86" i="25"/>
  <c r="O86" i="25" s="1"/>
  <c r="H86" i="25"/>
  <c r="G87" i="25"/>
  <c r="I91" i="25"/>
  <c r="O91" i="25" s="1"/>
  <c r="G91" i="25"/>
  <c r="M91" i="25" s="1"/>
  <c r="H91" i="25"/>
  <c r="N91" i="25" s="1"/>
  <c r="G95" i="25"/>
  <c r="M95" i="25" s="1"/>
  <c r="I95" i="25"/>
  <c r="O95" i="25" s="1"/>
  <c r="H95" i="25"/>
  <c r="N95" i="25" s="1"/>
  <c r="G99" i="25"/>
  <c r="M99" i="25" s="1"/>
  <c r="I99" i="25"/>
  <c r="O99" i="25" s="1"/>
  <c r="H99" i="25"/>
  <c r="N99" i="25" s="1"/>
  <c r="I103" i="25"/>
  <c r="O103" i="25" s="1"/>
  <c r="H103" i="25"/>
  <c r="N103" i="25" s="1"/>
  <c r="G103" i="25"/>
  <c r="I107" i="25"/>
  <c r="O107" i="25" s="1"/>
  <c r="G107" i="25"/>
  <c r="M107" i="25" s="1"/>
  <c r="H107" i="25"/>
  <c r="N107" i="25" s="1"/>
  <c r="H109" i="25"/>
  <c r="N109" i="25" s="1"/>
  <c r="I109" i="25"/>
  <c r="O109" i="25" s="1"/>
  <c r="G109" i="25"/>
  <c r="M109" i="25" s="1"/>
  <c r="G108" i="25"/>
  <c r="M108" i="25" s="1"/>
  <c r="H108" i="25"/>
  <c r="N108" i="25" s="1"/>
  <c r="O83" i="14"/>
  <c r="P83" i="14" s="1"/>
  <c r="O85" i="14"/>
  <c r="P85" i="14" s="1"/>
  <c r="O87" i="14"/>
  <c r="P87" i="14" s="1"/>
  <c r="O89" i="14"/>
  <c r="P89" i="14" s="1"/>
  <c r="O91" i="14"/>
  <c r="P91" i="14" s="1"/>
  <c r="O93" i="14"/>
  <c r="P93" i="14" s="1"/>
  <c r="O95" i="14"/>
  <c r="P95" i="14" s="1"/>
  <c r="O98" i="14"/>
  <c r="P98" i="14" s="1"/>
  <c r="O102" i="14"/>
  <c r="P102" i="14" s="1"/>
  <c r="O106" i="14"/>
  <c r="P106" i="14" s="1"/>
  <c r="O110" i="14"/>
  <c r="P110" i="14" s="1"/>
  <c r="K118" i="31"/>
  <c r="C119" i="31"/>
  <c r="C120" i="31" s="1"/>
  <c r="E120" i="31"/>
  <c r="P131" i="31"/>
  <c r="P133" i="31"/>
  <c r="P135" i="31"/>
  <c r="N38" i="19"/>
  <c r="N34" i="19" s="1"/>
  <c r="O34" i="19" s="1"/>
  <c r="M34" i="19"/>
  <c r="O8" i="19"/>
  <c r="M4" i="19"/>
  <c r="M5" i="19" s="1"/>
  <c r="M6" i="19" s="1"/>
  <c r="M7" i="19" s="1"/>
  <c r="M8" i="19" s="1"/>
  <c r="M9" i="19" s="1"/>
  <c r="M10" i="19" s="1"/>
  <c r="M11" i="19" s="1"/>
  <c r="M12" i="19" s="1"/>
  <c r="M13" i="19" s="1"/>
  <c r="M14" i="19" s="1"/>
  <c r="M15" i="19" s="1"/>
  <c r="M16" i="19" s="1"/>
  <c r="M17" i="19" s="1"/>
  <c r="M18" i="19" s="1"/>
  <c r="M19" i="19" s="1"/>
  <c r="M20" i="19" s="1"/>
  <c r="M21" i="19" s="1"/>
  <c r="M22" i="19" s="1"/>
  <c r="M23" i="19" s="1"/>
  <c r="M24" i="19" s="1"/>
  <c r="M25" i="19" s="1"/>
  <c r="M26" i="19" s="1"/>
  <c r="M27" i="19" s="1"/>
  <c r="M28" i="19" s="1"/>
  <c r="M29" i="19" s="1"/>
  <c r="M30" i="19" s="1"/>
  <c r="J90" i="25" l="1"/>
  <c r="K90" i="25" s="1"/>
  <c r="M90" i="25"/>
  <c r="Z143" i="27"/>
  <c r="O110" i="25"/>
  <c r="N110" i="24"/>
  <c r="J81" i="25"/>
  <c r="K81" i="25" s="1"/>
  <c r="M81" i="25"/>
  <c r="Q129" i="27"/>
  <c r="R129" i="27" s="1"/>
  <c r="X129" i="27"/>
  <c r="J80" i="25"/>
  <c r="K80" i="25" s="1"/>
  <c r="M80" i="25"/>
  <c r="J82" i="25"/>
  <c r="K82" i="25" s="1"/>
  <c r="N82" i="25"/>
  <c r="Q116" i="27"/>
  <c r="R116" i="27" s="1"/>
  <c r="Y116" i="27"/>
  <c r="J78" i="25"/>
  <c r="K78" i="25" s="1"/>
  <c r="M78" i="25"/>
  <c r="J93" i="25"/>
  <c r="K93" i="25" s="1"/>
  <c r="M93" i="25"/>
  <c r="J104" i="25"/>
  <c r="K104" i="25" s="1"/>
  <c r="M104" i="25"/>
  <c r="Q122" i="27"/>
  <c r="R122" i="27" s="1"/>
  <c r="Y122" i="27"/>
  <c r="Y143" i="27" s="1"/>
  <c r="Q112" i="27"/>
  <c r="R112" i="27" s="1"/>
  <c r="Y112" i="27"/>
  <c r="Q115" i="27"/>
  <c r="R115" i="27" s="1"/>
  <c r="W115" i="27"/>
  <c r="J103" i="25"/>
  <c r="K103" i="25" s="1"/>
  <c r="M103" i="25"/>
  <c r="J87" i="25"/>
  <c r="K87" i="25" s="1"/>
  <c r="M87" i="25"/>
  <c r="Q142" i="27"/>
  <c r="R142" i="27" s="1"/>
  <c r="Y142" i="27"/>
  <c r="N110" i="25"/>
  <c r="Q118" i="27"/>
  <c r="R118" i="27" s="1"/>
  <c r="Y118" i="27"/>
  <c r="J88" i="25"/>
  <c r="K88" i="25" s="1"/>
  <c r="M88" i="25"/>
  <c r="J105" i="25"/>
  <c r="K105" i="25" s="1"/>
  <c r="M105" i="25"/>
  <c r="J100" i="25"/>
  <c r="K100" i="25" s="1"/>
  <c r="M100" i="25"/>
  <c r="Q121" i="27"/>
  <c r="R121" i="27" s="1"/>
  <c r="W121" i="27"/>
  <c r="W143" i="27" s="1"/>
  <c r="X143" i="27"/>
  <c r="Q113" i="27"/>
  <c r="R113" i="27" s="1"/>
  <c r="W113" i="27"/>
  <c r="J86" i="25"/>
  <c r="K86" i="25" s="1"/>
  <c r="N86" i="25"/>
  <c r="P114" i="14"/>
  <c r="J83" i="25"/>
  <c r="K83" i="25" s="1"/>
  <c r="M83" i="25"/>
  <c r="J98" i="25"/>
  <c r="K98" i="25" s="1"/>
  <c r="M98" i="25"/>
  <c r="Q137" i="27"/>
  <c r="R137" i="27" s="1"/>
  <c r="Q117" i="27"/>
  <c r="R117" i="27" s="1"/>
  <c r="Q138" i="27"/>
  <c r="R138" i="27" s="1"/>
  <c r="Q130" i="27"/>
  <c r="R130" i="27" s="1"/>
  <c r="Q126" i="27"/>
  <c r="R126" i="27" s="1"/>
  <c r="Q134" i="27"/>
  <c r="R134" i="27" s="1"/>
  <c r="Q140" i="27"/>
  <c r="R140" i="27" s="1"/>
  <c r="Q139" i="27"/>
  <c r="R139" i="27" s="1"/>
  <c r="Q136" i="27"/>
  <c r="R136" i="27" s="1"/>
  <c r="Q111" i="27"/>
  <c r="R111" i="27" s="1"/>
  <c r="Q127" i="27"/>
  <c r="R127" i="27" s="1"/>
  <c r="Q135" i="27"/>
  <c r="R135" i="27" s="1"/>
  <c r="Q128" i="27"/>
  <c r="R128" i="27" s="1"/>
  <c r="Q125" i="27"/>
  <c r="R125" i="27" s="1"/>
  <c r="Q114" i="27"/>
  <c r="R114" i="27" s="1"/>
  <c r="Q132" i="27"/>
  <c r="R132" i="27" s="1"/>
  <c r="Q131" i="27"/>
  <c r="R131" i="27" s="1"/>
  <c r="Q141" i="27"/>
  <c r="R141" i="27" s="1"/>
  <c r="Q133" i="27"/>
  <c r="R133" i="27" s="1"/>
  <c r="Q120" i="27"/>
  <c r="R120" i="27" s="1"/>
  <c r="Q119" i="27"/>
  <c r="R119" i="27" s="1"/>
  <c r="Q124" i="27"/>
  <c r="R124" i="27" s="1"/>
  <c r="Q123" i="27"/>
  <c r="R123" i="27" s="1"/>
  <c r="J95" i="25"/>
  <c r="K95" i="25" s="1"/>
  <c r="J102" i="25"/>
  <c r="K102" i="25" s="1"/>
  <c r="J108" i="25"/>
  <c r="K108" i="25" s="1"/>
  <c r="J99" i="25"/>
  <c r="K99" i="25" s="1"/>
  <c r="J106" i="25"/>
  <c r="K106" i="25" s="1"/>
  <c r="J94" i="25"/>
  <c r="K94" i="25" s="1"/>
  <c r="J101" i="25"/>
  <c r="K101" i="25" s="1"/>
  <c r="J97" i="25"/>
  <c r="K97" i="25" s="1"/>
  <c r="J85" i="25"/>
  <c r="K85" i="25" s="1"/>
  <c r="J109" i="25"/>
  <c r="K109" i="25" s="1"/>
  <c r="J107" i="25"/>
  <c r="K107" i="25" s="1"/>
  <c r="J91" i="25"/>
  <c r="K91" i="25" s="1"/>
  <c r="J79" i="25"/>
  <c r="K79" i="25" s="1"/>
  <c r="J84" i="25"/>
  <c r="K84" i="25" s="1"/>
  <c r="J89" i="25"/>
  <c r="K89" i="25" s="1"/>
  <c r="J96" i="25"/>
  <c r="K96" i="25" s="1"/>
  <c r="J92" i="25"/>
  <c r="K92" i="25" s="1"/>
  <c r="E121" i="31"/>
  <c r="F121" i="31" s="1"/>
  <c r="F120" i="31"/>
  <c r="G120" i="31" s="1"/>
  <c r="K120" i="31"/>
  <c r="C121" i="31"/>
  <c r="K119" i="31"/>
  <c r="G119" i="31"/>
  <c r="O35" i="19"/>
  <c r="B49" i="18" s="1"/>
  <c r="C51" i="18" l="1"/>
  <c r="K110" i="25"/>
  <c r="C54" i="18"/>
  <c r="M110" i="25"/>
  <c r="R143" i="27"/>
  <c r="C122" i="31"/>
  <c r="K121" i="31"/>
  <c r="G121" i="31"/>
  <c r="C52" i="18" l="1"/>
  <c r="C53" i="18"/>
  <c r="C123" i="31"/>
  <c r="G122" i="31"/>
  <c r="K122" i="31"/>
  <c r="C124" i="31" l="1"/>
  <c r="K123" i="31"/>
  <c r="G123" i="31"/>
  <c r="C125" i="31" l="1"/>
  <c r="G124" i="31"/>
  <c r="K124" i="31"/>
  <c r="K125" i="31" l="1"/>
  <c r="G125" i="31"/>
  <c r="C126" i="31"/>
  <c r="C127" i="31" l="1"/>
  <c r="G126" i="31"/>
  <c r="K126" i="31"/>
  <c r="C128" i="31" l="1"/>
  <c r="K127" i="31"/>
  <c r="G127" i="31"/>
  <c r="C129" i="31" l="1"/>
  <c r="G128" i="31"/>
  <c r="K128" i="31"/>
  <c r="C130" i="31" l="1"/>
  <c r="K129" i="31"/>
  <c r="G129" i="31"/>
  <c r="C131" i="31" l="1"/>
  <c r="G130" i="31"/>
  <c r="K130" i="31"/>
  <c r="K131" i="31" l="1"/>
  <c r="C132" i="31"/>
  <c r="G131" i="31"/>
  <c r="C133" i="31" l="1"/>
  <c r="G132" i="31"/>
  <c r="K132" i="31"/>
  <c r="K133" i="31" l="1"/>
  <c r="C134" i="31"/>
  <c r="G133" i="31"/>
  <c r="C135" i="31" l="1"/>
  <c r="K134" i="31"/>
  <c r="G134" i="31"/>
  <c r="C136" i="31" l="1"/>
  <c r="G135" i="31"/>
  <c r="K135" i="31"/>
  <c r="C137" i="31" l="1"/>
  <c r="K136" i="31"/>
  <c r="G136" i="31"/>
  <c r="C138" i="31" l="1"/>
  <c r="G137" i="31"/>
  <c r="K137" i="31"/>
  <c r="C139" i="31" l="1"/>
  <c r="G138" i="31"/>
  <c r="K138" i="31"/>
  <c r="C140" i="31" l="1"/>
  <c r="G139" i="31"/>
  <c r="K139" i="31"/>
  <c r="C141" i="31" l="1"/>
  <c r="K140" i="31"/>
  <c r="G140" i="31"/>
  <c r="C142" i="31" l="1"/>
  <c r="K141" i="31"/>
  <c r="G141" i="31"/>
  <c r="C143" i="31" l="1"/>
  <c r="G142" i="31"/>
  <c r="K142" i="31"/>
  <c r="C144" i="31" l="1"/>
  <c r="G143" i="31"/>
  <c r="K143" i="31"/>
  <c r="C145" i="31" l="1"/>
  <c r="K144" i="31"/>
  <c r="G144" i="31"/>
  <c r="C146" i="31" l="1"/>
  <c r="K145" i="31"/>
  <c r="G145" i="31"/>
  <c r="K146" i="31" l="1"/>
  <c r="K151" i="31" s="1"/>
  <c r="B50" i="18" s="1"/>
  <c r="B55" i="18" s="1"/>
  <c r="G146" i="31"/>
  <c r="G151" i="31" s="1"/>
  <c r="C50" i="18" s="1"/>
  <c r="C55" i="18" s="1"/>
  <c r="C56" i="18" l="1"/>
  <c r="I154" i="31"/>
  <c r="G95" i="27" l="1"/>
  <c r="F95" i="27"/>
  <c r="I95" i="27" s="1"/>
  <c r="M95" i="27" s="1"/>
  <c r="X95" i="27" s="1"/>
  <c r="G94" i="27"/>
  <c r="F94" i="27"/>
  <c r="J94" i="27" s="1"/>
  <c r="N94" i="27" s="1"/>
  <c r="Y94" i="27" s="1"/>
  <c r="G93" i="27"/>
  <c r="F93" i="27"/>
  <c r="I93" i="27" s="1"/>
  <c r="M93" i="27" s="1"/>
  <c r="G92" i="27"/>
  <c r="F92" i="27"/>
  <c r="J92" i="27" s="1"/>
  <c r="N92" i="27" s="1"/>
  <c r="Y92" i="27" s="1"/>
  <c r="G91" i="27"/>
  <c r="F91" i="27"/>
  <c r="I91" i="27" s="1"/>
  <c r="M91" i="27" s="1"/>
  <c r="G90" i="27"/>
  <c r="F90" i="27"/>
  <c r="P90" i="27" s="1"/>
  <c r="G89" i="27"/>
  <c r="F89" i="27"/>
  <c r="H89" i="27" s="1"/>
  <c r="L89" i="27" s="1"/>
  <c r="W89" i="27" s="1"/>
  <c r="G88" i="27"/>
  <c r="F88" i="27"/>
  <c r="G87" i="27"/>
  <c r="F87" i="27"/>
  <c r="H87" i="27" s="1"/>
  <c r="L87" i="27" s="1"/>
  <c r="G86" i="27"/>
  <c r="F86" i="27"/>
  <c r="P86" i="27" s="1"/>
  <c r="G85" i="27"/>
  <c r="F85" i="27"/>
  <c r="G84" i="27"/>
  <c r="F84" i="27"/>
  <c r="G83" i="27"/>
  <c r="F83" i="27"/>
  <c r="J83" i="27" s="1"/>
  <c r="N83" i="27" s="1"/>
  <c r="Y83" i="27" s="1"/>
  <c r="G82" i="27"/>
  <c r="F82" i="27"/>
  <c r="G81" i="27"/>
  <c r="F81" i="27"/>
  <c r="G80" i="27"/>
  <c r="F80" i="27"/>
  <c r="K80" i="27" s="1"/>
  <c r="O80" i="27" s="1"/>
  <c r="Z80" i="27" s="1"/>
  <c r="G79" i="27"/>
  <c r="F79" i="27"/>
  <c r="J79" i="27" s="1"/>
  <c r="N79" i="27" s="1"/>
  <c r="G78" i="27"/>
  <c r="F78" i="27"/>
  <c r="G77" i="27"/>
  <c r="F77" i="27"/>
  <c r="G76" i="27"/>
  <c r="F76" i="27"/>
  <c r="G75" i="27"/>
  <c r="F75" i="27"/>
  <c r="K75" i="27" s="1"/>
  <c r="O75" i="27" s="1"/>
  <c r="Z75" i="27" s="1"/>
  <c r="I74" i="27"/>
  <c r="M74" i="27" s="1"/>
  <c r="X74" i="27" s="1"/>
  <c r="G74" i="27"/>
  <c r="F74" i="27"/>
  <c r="J74" i="27" s="1"/>
  <c r="N74" i="27" s="1"/>
  <c r="G73" i="27"/>
  <c r="F73" i="27"/>
  <c r="G72" i="27"/>
  <c r="F72" i="27"/>
  <c r="G71" i="27"/>
  <c r="F71" i="27"/>
  <c r="G70" i="27"/>
  <c r="F70" i="27"/>
  <c r="P70" i="27" s="1"/>
  <c r="G69" i="27"/>
  <c r="F69" i="27"/>
  <c r="G68" i="27"/>
  <c r="F68" i="27"/>
  <c r="K68" i="27" s="1"/>
  <c r="O68" i="27" s="1"/>
  <c r="G67" i="27"/>
  <c r="F67" i="27"/>
  <c r="G66" i="27"/>
  <c r="F66" i="27"/>
  <c r="K66" i="27" s="1"/>
  <c r="O66" i="27" s="1"/>
  <c r="Z66" i="27" s="1"/>
  <c r="G65" i="27"/>
  <c r="F65" i="27"/>
  <c r="B65" i="27"/>
  <c r="B66" i="27" s="1"/>
  <c r="B67" i="27" s="1"/>
  <c r="B68" i="27" s="1"/>
  <c r="B69" i="27" s="1"/>
  <c r="B70" i="27" s="1"/>
  <c r="B71" i="27" s="1"/>
  <c r="B72" i="27" s="1"/>
  <c r="B73" i="27" s="1"/>
  <c r="B74" i="27" s="1"/>
  <c r="B75" i="27" s="1"/>
  <c r="B76" i="27" s="1"/>
  <c r="B77" i="27" s="1"/>
  <c r="B78" i="27" s="1"/>
  <c r="B79" i="27" s="1"/>
  <c r="B80" i="27" s="1"/>
  <c r="B81" i="27" s="1"/>
  <c r="B82" i="27" s="1"/>
  <c r="B83" i="27" s="1"/>
  <c r="B84" i="27" s="1"/>
  <c r="B85" i="27" s="1"/>
  <c r="B86" i="27" s="1"/>
  <c r="B87" i="27" s="1"/>
  <c r="B88" i="27" s="1"/>
  <c r="B89" i="27" s="1"/>
  <c r="B90" i="27" s="1"/>
  <c r="B91" i="27" s="1"/>
  <c r="B92" i="27" s="1"/>
  <c r="B93" i="27" s="1"/>
  <c r="B94" i="27" s="1"/>
  <c r="B95" i="27" s="1"/>
  <c r="A65" i="27"/>
  <c r="A66" i="27" s="1"/>
  <c r="A67" i="27" s="1"/>
  <c r="A68" i="27" s="1"/>
  <c r="A69" i="27" s="1"/>
  <c r="A70" i="27" s="1"/>
  <c r="A71" i="27" s="1"/>
  <c r="A72" i="27" s="1"/>
  <c r="A73" i="27" s="1"/>
  <c r="A74" i="27" s="1"/>
  <c r="A75" i="27" s="1"/>
  <c r="A76" i="27" s="1"/>
  <c r="A77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2" i="27" s="1"/>
  <c r="A93" i="27" s="1"/>
  <c r="A94" i="27" s="1"/>
  <c r="A95" i="27" s="1"/>
  <c r="G64" i="27"/>
  <c r="F64" i="27"/>
  <c r="P64" i="27" s="1"/>
  <c r="I72" i="24"/>
  <c r="K72" i="24" s="1"/>
  <c r="L72" i="24" s="1"/>
  <c r="F72" i="24"/>
  <c r="G72" i="24" s="1"/>
  <c r="M72" i="24" s="1"/>
  <c r="D72" i="24"/>
  <c r="I71" i="24"/>
  <c r="K71" i="24" s="1"/>
  <c r="L71" i="24" s="1"/>
  <c r="D71" i="24"/>
  <c r="F71" i="24" s="1"/>
  <c r="G71" i="24" s="1"/>
  <c r="A71" i="24"/>
  <c r="A72" i="24" s="1"/>
  <c r="K70" i="24"/>
  <c r="L70" i="24" s="1"/>
  <c r="P70" i="24" s="1"/>
  <c r="I70" i="24"/>
  <c r="D70" i="24"/>
  <c r="F70" i="24" s="1"/>
  <c r="G70" i="24" s="1"/>
  <c r="M70" i="24" s="1"/>
  <c r="N70" i="24" s="1"/>
  <c r="I69" i="24"/>
  <c r="K69" i="24" s="1"/>
  <c r="L69" i="24" s="1"/>
  <c r="P69" i="24" s="1"/>
  <c r="F69" i="24"/>
  <c r="G69" i="24" s="1"/>
  <c r="D69" i="24"/>
  <c r="I68" i="24"/>
  <c r="K68" i="24" s="1"/>
  <c r="L68" i="24" s="1"/>
  <c r="P68" i="24" s="1"/>
  <c r="D68" i="24"/>
  <c r="F68" i="24" s="1"/>
  <c r="G68" i="24" s="1"/>
  <c r="I67" i="24"/>
  <c r="K67" i="24" s="1"/>
  <c r="L67" i="24" s="1"/>
  <c r="P67" i="24" s="1"/>
  <c r="D67" i="24"/>
  <c r="F67" i="24" s="1"/>
  <c r="G67" i="24" s="1"/>
  <c r="I66" i="24"/>
  <c r="K66" i="24" s="1"/>
  <c r="L66" i="24" s="1"/>
  <c r="P66" i="24" s="1"/>
  <c r="F66" i="24"/>
  <c r="G66" i="24" s="1"/>
  <c r="D66" i="24"/>
  <c r="I65" i="24"/>
  <c r="K65" i="24" s="1"/>
  <c r="L65" i="24" s="1"/>
  <c r="P65" i="24" s="1"/>
  <c r="D65" i="24"/>
  <c r="F65" i="24" s="1"/>
  <c r="G65" i="24" s="1"/>
  <c r="M65" i="24" s="1"/>
  <c r="N65" i="24" s="1"/>
  <c r="I64" i="24"/>
  <c r="K64" i="24" s="1"/>
  <c r="L64" i="24" s="1"/>
  <c r="P64" i="24" s="1"/>
  <c r="D64" i="24"/>
  <c r="F64" i="24" s="1"/>
  <c r="G64" i="24" s="1"/>
  <c r="M64" i="24" s="1"/>
  <c r="N64" i="24" s="1"/>
  <c r="K63" i="24"/>
  <c r="L63" i="24" s="1"/>
  <c r="P63" i="24" s="1"/>
  <c r="I63" i="24"/>
  <c r="D63" i="24"/>
  <c r="F63" i="24" s="1"/>
  <c r="G63" i="24" s="1"/>
  <c r="K62" i="24"/>
  <c r="L62" i="24" s="1"/>
  <c r="P62" i="24" s="1"/>
  <c r="I62" i="24"/>
  <c r="F62" i="24"/>
  <c r="G62" i="24" s="1"/>
  <c r="D62" i="24"/>
  <c r="I61" i="24"/>
  <c r="K61" i="24" s="1"/>
  <c r="L61" i="24" s="1"/>
  <c r="P61" i="24" s="1"/>
  <c r="D61" i="24"/>
  <c r="F61" i="24" s="1"/>
  <c r="G61" i="24" s="1"/>
  <c r="I60" i="24"/>
  <c r="K60" i="24" s="1"/>
  <c r="L60" i="24" s="1"/>
  <c r="P60" i="24" s="1"/>
  <c r="D60" i="24"/>
  <c r="F60" i="24" s="1"/>
  <c r="G60" i="24" s="1"/>
  <c r="I59" i="24"/>
  <c r="K59" i="24" s="1"/>
  <c r="L59" i="24" s="1"/>
  <c r="P59" i="24" s="1"/>
  <c r="D59" i="24"/>
  <c r="F59" i="24" s="1"/>
  <c r="G59" i="24" s="1"/>
  <c r="K58" i="24"/>
  <c r="L58" i="24" s="1"/>
  <c r="P58" i="24" s="1"/>
  <c r="I58" i="24"/>
  <c r="D58" i="24"/>
  <c r="F58" i="24" s="1"/>
  <c r="G58" i="24" s="1"/>
  <c r="M58" i="24" s="1"/>
  <c r="N58" i="24" s="1"/>
  <c r="I57" i="24"/>
  <c r="K57" i="24" s="1"/>
  <c r="L57" i="24" s="1"/>
  <c r="P57" i="24" s="1"/>
  <c r="F57" i="24"/>
  <c r="G57" i="24" s="1"/>
  <c r="M57" i="24" s="1"/>
  <c r="N57" i="24" s="1"/>
  <c r="D57" i="24"/>
  <c r="I56" i="24"/>
  <c r="K56" i="24" s="1"/>
  <c r="L56" i="24" s="1"/>
  <c r="P56" i="24" s="1"/>
  <c r="D56" i="24"/>
  <c r="F56" i="24" s="1"/>
  <c r="G56" i="24" s="1"/>
  <c r="M56" i="24" s="1"/>
  <c r="N56" i="24" s="1"/>
  <c r="K55" i="24"/>
  <c r="L55" i="24" s="1"/>
  <c r="P55" i="24" s="1"/>
  <c r="I55" i="24"/>
  <c r="D55" i="24"/>
  <c r="F55" i="24" s="1"/>
  <c r="G55" i="24" s="1"/>
  <c r="I54" i="24"/>
  <c r="K54" i="24" s="1"/>
  <c r="L54" i="24" s="1"/>
  <c r="P54" i="24" s="1"/>
  <c r="D54" i="24"/>
  <c r="F54" i="24" s="1"/>
  <c r="G54" i="24" s="1"/>
  <c r="M54" i="24" s="1"/>
  <c r="N54" i="24" s="1"/>
  <c r="I53" i="24"/>
  <c r="K53" i="24" s="1"/>
  <c r="L53" i="24" s="1"/>
  <c r="P53" i="24" s="1"/>
  <c r="D53" i="24"/>
  <c r="F53" i="24" s="1"/>
  <c r="G53" i="24" s="1"/>
  <c r="I52" i="24"/>
  <c r="K52" i="24" s="1"/>
  <c r="L52" i="24" s="1"/>
  <c r="P52" i="24" s="1"/>
  <c r="D52" i="24"/>
  <c r="F52" i="24" s="1"/>
  <c r="G52" i="24" s="1"/>
  <c r="K51" i="24"/>
  <c r="L51" i="24" s="1"/>
  <c r="P51" i="24" s="1"/>
  <c r="I51" i="24"/>
  <c r="D51" i="24"/>
  <c r="F51" i="24" s="1"/>
  <c r="G51" i="24" s="1"/>
  <c r="I50" i="24"/>
  <c r="K50" i="24" s="1"/>
  <c r="L50" i="24" s="1"/>
  <c r="P50" i="24" s="1"/>
  <c r="F50" i="24"/>
  <c r="G50" i="24" s="1"/>
  <c r="D50" i="24"/>
  <c r="I49" i="24"/>
  <c r="K49" i="24" s="1"/>
  <c r="L49" i="24" s="1"/>
  <c r="P49" i="24" s="1"/>
  <c r="F49" i="24"/>
  <c r="G49" i="24" s="1"/>
  <c r="M49" i="24" s="1"/>
  <c r="N49" i="24" s="1"/>
  <c r="D49" i="24"/>
  <c r="I48" i="24"/>
  <c r="K48" i="24" s="1"/>
  <c r="L48" i="24" s="1"/>
  <c r="P48" i="24" s="1"/>
  <c r="D48" i="24"/>
  <c r="F48" i="24" s="1"/>
  <c r="G48" i="24" s="1"/>
  <c r="I47" i="24"/>
  <c r="K47" i="24" s="1"/>
  <c r="L47" i="24" s="1"/>
  <c r="P47" i="24" s="1"/>
  <c r="D47" i="24"/>
  <c r="F47" i="24" s="1"/>
  <c r="G47" i="24" s="1"/>
  <c r="K46" i="24"/>
  <c r="L46" i="24" s="1"/>
  <c r="P46" i="24" s="1"/>
  <c r="I46" i="24"/>
  <c r="D46" i="24"/>
  <c r="F46" i="24" s="1"/>
  <c r="G46" i="24" s="1"/>
  <c r="M46" i="24" s="1"/>
  <c r="N46" i="24" s="1"/>
  <c r="I45" i="24"/>
  <c r="K45" i="24" s="1"/>
  <c r="L45" i="24" s="1"/>
  <c r="P45" i="24" s="1"/>
  <c r="F45" i="24"/>
  <c r="G45" i="24" s="1"/>
  <c r="D45" i="24"/>
  <c r="I44" i="24"/>
  <c r="K44" i="24" s="1"/>
  <c r="L44" i="24" s="1"/>
  <c r="P44" i="24" s="1"/>
  <c r="D44" i="24"/>
  <c r="F44" i="24" s="1"/>
  <c r="G44" i="24" s="1"/>
  <c r="B44" i="24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B57" i="24" s="1"/>
  <c r="B58" i="24" s="1"/>
  <c r="B59" i="24" s="1"/>
  <c r="B60" i="24" s="1"/>
  <c r="B61" i="24" s="1"/>
  <c r="B62" i="24" s="1"/>
  <c r="B63" i="24" s="1"/>
  <c r="B64" i="24" s="1"/>
  <c r="B65" i="24" s="1"/>
  <c r="B66" i="24" s="1"/>
  <c r="B67" i="24" s="1"/>
  <c r="B68" i="24" s="1"/>
  <c r="B69" i="24" s="1"/>
  <c r="B70" i="24" s="1"/>
  <c r="B71" i="24" s="1"/>
  <c r="B72" i="24" s="1"/>
  <c r="I43" i="24"/>
  <c r="K43" i="24" s="1"/>
  <c r="L43" i="24" s="1"/>
  <c r="P43" i="24" s="1"/>
  <c r="D43" i="24"/>
  <c r="F43" i="24" s="1"/>
  <c r="G43" i="24" s="1"/>
  <c r="B43" i="24"/>
  <c r="K42" i="24"/>
  <c r="L42" i="24" s="1"/>
  <c r="P42" i="24" s="1"/>
  <c r="I42" i="24"/>
  <c r="F42" i="24"/>
  <c r="G42" i="24" s="1"/>
  <c r="D42" i="24"/>
  <c r="B42" i="24"/>
  <c r="I41" i="24"/>
  <c r="K41" i="24" s="1"/>
  <c r="L41" i="24" s="1"/>
  <c r="P41" i="24" s="1"/>
  <c r="D41" i="24"/>
  <c r="F41" i="24" s="1"/>
  <c r="G41" i="24" s="1"/>
  <c r="M41" i="24" s="1"/>
  <c r="N41" i="24" s="1"/>
  <c r="D72" i="25"/>
  <c r="F72" i="25" s="1"/>
  <c r="D71" i="25"/>
  <c r="F71" i="25" s="1"/>
  <c r="I71" i="25" s="1"/>
  <c r="O71" i="25" s="1"/>
  <c r="A71" i="25"/>
  <c r="A72" i="25" s="1"/>
  <c r="F70" i="25"/>
  <c r="I70" i="25" s="1"/>
  <c r="O70" i="25" s="1"/>
  <c r="D70" i="25"/>
  <c r="D69" i="25"/>
  <c r="F69" i="25" s="1"/>
  <c r="F68" i="25"/>
  <c r="I68" i="25" s="1"/>
  <c r="O68" i="25" s="1"/>
  <c r="D68" i="25"/>
  <c r="D67" i="25"/>
  <c r="F67" i="25" s="1"/>
  <c r="F66" i="25"/>
  <c r="I66" i="25" s="1"/>
  <c r="O66" i="25" s="1"/>
  <c r="D66" i="25"/>
  <c r="D65" i="25"/>
  <c r="F65" i="25" s="1"/>
  <c r="F64" i="25"/>
  <c r="I64" i="25" s="1"/>
  <c r="O64" i="25" s="1"/>
  <c r="D64" i="25"/>
  <c r="D63" i="25"/>
  <c r="F63" i="25" s="1"/>
  <c r="F62" i="25"/>
  <c r="I62" i="25" s="1"/>
  <c r="O62" i="25" s="1"/>
  <c r="D62" i="25"/>
  <c r="D61" i="25"/>
  <c r="F61" i="25" s="1"/>
  <c r="F60" i="25"/>
  <c r="I60" i="25" s="1"/>
  <c r="O60" i="25" s="1"/>
  <c r="D60" i="25"/>
  <c r="D59" i="25"/>
  <c r="F59" i="25" s="1"/>
  <c r="F58" i="25"/>
  <c r="I58" i="25" s="1"/>
  <c r="O58" i="25" s="1"/>
  <c r="D58" i="25"/>
  <c r="D57" i="25"/>
  <c r="F57" i="25" s="1"/>
  <c r="F56" i="25"/>
  <c r="I56" i="25" s="1"/>
  <c r="O56" i="25" s="1"/>
  <c r="D56" i="25"/>
  <c r="D55" i="25"/>
  <c r="F55" i="25" s="1"/>
  <c r="F54" i="25"/>
  <c r="I54" i="25" s="1"/>
  <c r="O54" i="25" s="1"/>
  <c r="D54" i="25"/>
  <c r="D53" i="25"/>
  <c r="F53" i="25" s="1"/>
  <c r="F52" i="25"/>
  <c r="I52" i="25" s="1"/>
  <c r="O52" i="25" s="1"/>
  <c r="D52" i="25"/>
  <c r="D51" i="25"/>
  <c r="F51" i="25" s="1"/>
  <c r="F50" i="25"/>
  <c r="I50" i="25" s="1"/>
  <c r="O50" i="25" s="1"/>
  <c r="D50" i="25"/>
  <c r="D49" i="25"/>
  <c r="F49" i="25" s="1"/>
  <c r="D48" i="25"/>
  <c r="F48" i="25" s="1"/>
  <c r="D47" i="25"/>
  <c r="F47" i="25" s="1"/>
  <c r="D46" i="25"/>
  <c r="F46" i="25" s="1"/>
  <c r="D45" i="25"/>
  <c r="F45" i="25" s="1"/>
  <c r="D44" i="25"/>
  <c r="F44" i="25" s="1"/>
  <c r="D43" i="25"/>
  <c r="F43" i="25" s="1"/>
  <c r="D42" i="25"/>
  <c r="F42" i="25" s="1"/>
  <c r="B42" i="25"/>
  <c r="B43" i="25" s="1"/>
  <c r="B44" i="25" s="1"/>
  <c r="B45" i="25" s="1"/>
  <c r="B46" i="25" s="1"/>
  <c r="B47" i="25" s="1"/>
  <c r="B48" i="25" s="1"/>
  <c r="B49" i="25" s="1"/>
  <c r="B50" i="25" s="1"/>
  <c r="B51" i="25" s="1"/>
  <c r="B52" i="25" s="1"/>
  <c r="B53" i="25" s="1"/>
  <c r="B54" i="25" s="1"/>
  <c r="B55" i="25" s="1"/>
  <c r="B56" i="25" s="1"/>
  <c r="B57" i="25" s="1"/>
  <c r="B58" i="25" s="1"/>
  <c r="B59" i="25" s="1"/>
  <c r="B60" i="25" s="1"/>
  <c r="B61" i="25" s="1"/>
  <c r="B62" i="25" s="1"/>
  <c r="B63" i="25" s="1"/>
  <c r="B64" i="25" s="1"/>
  <c r="B65" i="25" s="1"/>
  <c r="B66" i="25" s="1"/>
  <c r="B67" i="25" s="1"/>
  <c r="B68" i="25" s="1"/>
  <c r="B69" i="25" s="1"/>
  <c r="B70" i="25" s="1"/>
  <c r="B71" i="25" s="1"/>
  <c r="B72" i="25" s="1"/>
  <c r="D41" i="25"/>
  <c r="F41" i="25" s="1"/>
  <c r="J75" i="14"/>
  <c r="N75" i="14" s="1"/>
  <c r="R75" i="14" s="1"/>
  <c r="G75" i="14"/>
  <c r="D75" i="14"/>
  <c r="H75" i="14" s="1"/>
  <c r="J74" i="14"/>
  <c r="N74" i="14" s="1"/>
  <c r="R74" i="14" s="1"/>
  <c r="G74" i="14"/>
  <c r="D74" i="14"/>
  <c r="A74" i="14"/>
  <c r="A75" i="14" s="1"/>
  <c r="J73" i="14"/>
  <c r="N73" i="14" s="1"/>
  <c r="R73" i="14" s="1"/>
  <c r="G73" i="14"/>
  <c r="D73" i="14"/>
  <c r="H73" i="14" s="1"/>
  <c r="O73" i="14" s="1"/>
  <c r="P73" i="14" s="1"/>
  <c r="J72" i="14"/>
  <c r="N72" i="14" s="1"/>
  <c r="R72" i="14" s="1"/>
  <c r="G72" i="14"/>
  <c r="D72" i="14"/>
  <c r="H72" i="14" s="1"/>
  <c r="O72" i="14" s="1"/>
  <c r="P72" i="14" s="1"/>
  <c r="J71" i="14"/>
  <c r="N71" i="14" s="1"/>
  <c r="R71" i="14" s="1"/>
  <c r="G71" i="14"/>
  <c r="D71" i="14"/>
  <c r="H71" i="14" s="1"/>
  <c r="O71" i="14" s="1"/>
  <c r="P71" i="14" s="1"/>
  <c r="J70" i="14"/>
  <c r="N70" i="14" s="1"/>
  <c r="R70" i="14" s="1"/>
  <c r="G70" i="14"/>
  <c r="D70" i="14"/>
  <c r="H70" i="14" s="1"/>
  <c r="O70" i="14" s="1"/>
  <c r="P70" i="14" s="1"/>
  <c r="J69" i="14"/>
  <c r="N69" i="14" s="1"/>
  <c r="R69" i="14" s="1"/>
  <c r="G69" i="14"/>
  <c r="D69" i="14"/>
  <c r="H69" i="14" s="1"/>
  <c r="O69" i="14" s="1"/>
  <c r="P69" i="14" s="1"/>
  <c r="J68" i="14"/>
  <c r="N68" i="14" s="1"/>
  <c r="R68" i="14" s="1"/>
  <c r="G68" i="14"/>
  <c r="D68" i="14"/>
  <c r="H68" i="14" s="1"/>
  <c r="O68" i="14" s="1"/>
  <c r="P68" i="14" s="1"/>
  <c r="J67" i="14"/>
  <c r="N67" i="14" s="1"/>
  <c r="R67" i="14" s="1"/>
  <c r="G67" i="14"/>
  <c r="D67" i="14"/>
  <c r="H67" i="14" s="1"/>
  <c r="O67" i="14" s="1"/>
  <c r="P67" i="14" s="1"/>
  <c r="J66" i="14"/>
  <c r="N66" i="14" s="1"/>
  <c r="R66" i="14" s="1"/>
  <c r="G66" i="14"/>
  <c r="D66" i="14"/>
  <c r="H66" i="14" s="1"/>
  <c r="O66" i="14" s="1"/>
  <c r="P66" i="14" s="1"/>
  <c r="J65" i="14"/>
  <c r="N65" i="14" s="1"/>
  <c r="R65" i="14" s="1"/>
  <c r="G65" i="14"/>
  <c r="D65" i="14"/>
  <c r="H65" i="14" s="1"/>
  <c r="O65" i="14" s="1"/>
  <c r="P65" i="14" s="1"/>
  <c r="J64" i="14"/>
  <c r="N64" i="14" s="1"/>
  <c r="R64" i="14" s="1"/>
  <c r="G64" i="14"/>
  <c r="D64" i="14"/>
  <c r="H64" i="14" s="1"/>
  <c r="O64" i="14" s="1"/>
  <c r="P64" i="14" s="1"/>
  <c r="J63" i="14"/>
  <c r="N63" i="14" s="1"/>
  <c r="R63" i="14" s="1"/>
  <c r="G63" i="14"/>
  <c r="D63" i="14"/>
  <c r="H63" i="14" s="1"/>
  <c r="O63" i="14" s="1"/>
  <c r="P63" i="14" s="1"/>
  <c r="J62" i="14"/>
  <c r="N62" i="14" s="1"/>
  <c r="R62" i="14" s="1"/>
  <c r="G62" i="14"/>
  <c r="D62" i="14"/>
  <c r="H62" i="14" s="1"/>
  <c r="O62" i="14" s="1"/>
  <c r="P62" i="14" s="1"/>
  <c r="J61" i="14"/>
  <c r="N61" i="14" s="1"/>
  <c r="R61" i="14" s="1"/>
  <c r="G61" i="14"/>
  <c r="D61" i="14"/>
  <c r="H61" i="14" s="1"/>
  <c r="O61" i="14" s="1"/>
  <c r="P61" i="14" s="1"/>
  <c r="J60" i="14"/>
  <c r="N60" i="14" s="1"/>
  <c r="R60" i="14" s="1"/>
  <c r="G60" i="14"/>
  <c r="D60" i="14"/>
  <c r="H60" i="14" s="1"/>
  <c r="O60" i="14" s="1"/>
  <c r="P60" i="14" s="1"/>
  <c r="J59" i="14"/>
  <c r="N59" i="14" s="1"/>
  <c r="R59" i="14" s="1"/>
  <c r="G59" i="14"/>
  <c r="D59" i="14"/>
  <c r="H59" i="14" s="1"/>
  <c r="O59" i="14" s="1"/>
  <c r="P59" i="14" s="1"/>
  <c r="J58" i="14"/>
  <c r="N58" i="14" s="1"/>
  <c r="R58" i="14" s="1"/>
  <c r="G58" i="14"/>
  <c r="D58" i="14"/>
  <c r="H58" i="14" s="1"/>
  <c r="O58" i="14" s="1"/>
  <c r="P58" i="14" s="1"/>
  <c r="J57" i="14"/>
  <c r="N57" i="14" s="1"/>
  <c r="R57" i="14" s="1"/>
  <c r="G57" i="14"/>
  <c r="D57" i="14"/>
  <c r="H57" i="14" s="1"/>
  <c r="O57" i="14" s="1"/>
  <c r="P57" i="14" s="1"/>
  <c r="J56" i="14"/>
  <c r="N56" i="14" s="1"/>
  <c r="R56" i="14" s="1"/>
  <c r="G56" i="14"/>
  <c r="D56" i="14"/>
  <c r="H56" i="14" s="1"/>
  <c r="O56" i="14" s="1"/>
  <c r="P56" i="14" s="1"/>
  <c r="J55" i="14"/>
  <c r="N55" i="14" s="1"/>
  <c r="R55" i="14" s="1"/>
  <c r="G55" i="14"/>
  <c r="D55" i="14"/>
  <c r="H55" i="14" s="1"/>
  <c r="O55" i="14" s="1"/>
  <c r="P55" i="14" s="1"/>
  <c r="J54" i="14"/>
  <c r="N54" i="14" s="1"/>
  <c r="R54" i="14" s="1"/>
  <c r="G54" i="14"/>
  <c r="D54" i="14"/>
  <c r="H54" i="14" s="1"/>
  <c r="O54" i="14" s="1"/>
  <c r="P54" i="14" s="1"/>
  <c r="J53" i="14"/>
  <c r="N53" i="14" s="1"/>
  <c r="R53" i="14" s="1"/>
  <c r="G53" i="14"/>
  <c r="D53" i="14"/>
  <c r="H53" i="14" s="1"/>
  <c r="O53" i="14" s="1"/>
  <c r="P53" i="14" s="1"/>
  <c r="J52" i="14"/>
  <c r="N52" i="14" s="1"/>
  <c r="R52" i="14" s="1"/>
  <c r="G52" i="14"/>
  <c r="D52" i="14"/>
  <c r="H52" i="14" s="1"/>
  <c r="O52" i="14" s="1"/>
  <c r="P52" i="14" s="1"/>
  <c r="J51" i="14"/>
  <c r="N51" i="14" s="1"/>
  <c r="R51" i="14" s="1"/>
  <c r="G51" i="14"/>
  <c r="D51" i="14"/>
  <c r="H51" i="14" s="1"/>
  <c r="O51" i="14" s="1"/>
  <c r="P51" i="14" s="1"/>
  <c r="J50" i="14"/>
  <c r="N50" i="14" s="1"/>
  <c r="R50" i="14" s="1"/>
  <c r="G50" i="14"/>
  <c r="D50" i="14"/>
  <c r="H50" i="14" s="1"/>
  <c r="O50" i="14" s="1"/>
  <c r="P50" i="14" s="1"/>
  <c r="J49" i="14"/>
  <c r="N49" i="14" s="1"/>
  <c r="R49" i="14" s="1"/>
  <c r="G49" i="14"/>
  <c r="D49" i="14"/>
  <c r="H49" i="14" s="1"/>
  <c r="O49" i="14" s="1"/>
  <c r="P49" i="14" s="1"/>
  <c r="J48" i="14"/>
  <c r="N48" i="14" s="1"/>
  <c r="R48" i="14" s="1"/>
  <c r="G48" i="14"/>
  <c r="D48" i="14"/>
  <c r="H48" i="14" s="1"/>
  <c r="O48" i="14" s="1"/>
  <c r="P48" i="14" s="1"/>
  <c r="J47" i="14"/>
  <c r="N47" i="14" s="1"/>
  <c r="R47" i="14" s="1"/>
  <c r="G47" i="14"/>
  <c r="D47" i="14"/>
  <c r="H47" i="14" s="1"/>
  <c r="O47" i="14" s="1"/>
  <c r="P47" i="14" s="1"/>
  <c r="J46" i="14"/>
  <c r="N46" i="14" s="1"/>
  <c r="R46" i="14" s="1"/>
  <c r="G46" i="14"/>
  <c r="D46" i="14"/>
  <c r="H46" i="14" s="1"/>
  <c r="O46" i="14" s="1"/>
  <c r="P46" i="14" s="1"/>
  <c r="J45" i="14"/>
  <c r="N45" i="14" s="1"/>
  <c r="R45" i="14" s="1"/>
  <c r="G45" i="14"/>
  <c r="D45" i="14"/>
  <c r="H45" i="14" s="1"/>
  <c r="O45" i="14" s="1"/>
  <c r="P45" i="14" s="1"/>
  <c r="B45" i="14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69" i="14" s="1"/>
  <c r="B70" i="14" s="1"/>
  <c r="B71" i="14" s="1"/>
  <c r="B72" i="14" s="1"/>
  <c r="B73" i="14" s="1"/>
  <c r="B74" i="14" s="1"/>
  <c r="B75" i="14" s="1"/>
  <c r="J44" i="14"/>
  <c r="N44" i="14" s="1"/>
  <c r="R44" i="14" s="1"/>
  <c r="G44" i="14"/>
  <c r="D44" i="14"/>
  <c r="H44" i="14" s="1"/>
  <c r="O44" i="14" s="1"/>
  <c r="P44" i="14" s="1"/>
  <c r="I48" i="25" l="1"/>
  <c r="O48" i="25" s="1"/>
  <c r="G48" i="25"/>
  <c r="M48" i="25" s="1"/>
  <c r="I55" i="25"/>
  <c r="O55" i="25" s="1"/>
  <c r="G55" i="25"/>
  <c r="M55" i="25" s="1"/>
  <c r="I57" i="25"/>
  <c r="O57" i="25" s="1"/>
  <c r="G57" i="25"/>
  <c r="M57" i="25" s="1"/>
  <c r="P76" i="14"/>
  <c r="I41" i="25"/>
  <c r="O41" i="25" s="1"/>
  <c r="G41" i="25"/>
  <c r="M41" i="25" s="1"/>
  <c r="I51" i="25"/>
  <c r="O51" i="25" s="1"/>
  <c r="G51" i="25"/>
  <c r="M51" i="25" s="1"/>
  <c r="I59" i="25"/>
  <c r="O59" i="25" s="1"/>
  <c r="G59" i="25"/>
  <c r="M59" i="25" s="1"/>
  <c r="I67" i="25"/>
  <c r="O67" i="25" s="1"/>
  <c r="G67" i="25"/>
  <c r="M67" i="25" s="1"/>
  <c r="I45" i="25"/>
  <c r="O45" i="25" s="1"/>
  <c r="G45" i="25"/>
  <c r="M45" i="25" s="1"/>
  <c r="I63" i="25"/>
  <c r="O63" i="25" s="1"/>
  <c r="G63" i="25"/>
  <c r="M63" i="25" s="1"/>
  <c r="I47" i="25"/>
  <c r="O47" i="25" s="1"/>
  <c r="G47" i="25"/>
  <c r="M47" i="25" s="1"/>
  <c r="I49" i="25"/>
  <c r="O49" i="25" s="1"/>
  <c r="G49" i="25"/>
  <c r="M49" i="25" s="1"/>
  <c r="I42" i="25"/>
  <c r="O42" i="25" s="1"/>
  <c r="G42" i="25"/>
  <c r="M42" i="25" s="1"/>
  <c r="I46" i="25"/>
  <c r="O46" i="25" s="1"/>
  <c r="G46" i="25"/>
  <c r="M46" i="25" s="1"/>
  <c r="I43" i="25"/>
  <c r="O43" i="25" s="1"/>
  <c r="G43" i="25"/>
  <c r="M43" i="25" s="1"/>
  <c r="I53" i="25"/>
  <c r="O53" i="25" s="1"/>
  <c r="G53" i="25"/>
  <c r="M53" i="25" s="1"/>
  <c r="I61" i="25"/>
  <c r="O61" i="25" s="1"/>
  <c r="G61" i="25"/>
  <c r="M61" i="25" s="1"/>
  <c r="I69" i="25"/>
  <c r="O69" i="25" s="1"/>
  <c r="G69" i="25"/>
  <c r="M69" i="25" s="1"/>
  <c r="I65" i="25"/>
  <c r="O65" i="25" s="1"/>
  <c r="G65" i="25"/>
  <c r="M65" i="25" s="1"/>
  <c r="I44" i="25"/>
  <c r="O44" i="25" s="1"/>
  <c r="G44" i="25"/>
  <c r="M44" i="25" s="1"/>
  <c r="M66" i="24"/>
  <c r="N66" i="24" s="1"/>
  <c r="W87" i="27"/>
  <c r="X93" i="27"/>
  <c r="M59" i="24"/>
  <c r="N59" i="24" s="1"/>
  <c r="O75" i="14"/>
  <c r="P75" i="14" s="1"/>
  <c r="I75" i="27"/>
  <c r="M75" i="27" s="1"/>
  <c r="X75" i="27" s="1"/>
  <c r="M67" i="24"/>
  <c r="N67" i="24" s="1"/>
  <c r="G68" i="25"/>
  <c r="M68" i="25" s="1"/>
  <c r="P73" i="24"/>
  <c r="J89" i="27"/>
  <c r="N89" i="27" s="1"/>
  <c r="Y89" i="27" s="1"/>
  <c r="M51" i="24"/>
  <c r="N51" i="24" s="1"/>
  <c r="P71" i="24"/>
  <c r="J67" i="27"/>
  <c r="N67" i="27" s="1"/>
  <c r="Y67" i="27" s="1"/>
  <c r="J73" i="27"/>
  <c r="N73" i="27" s="1"/>
  <c r="Y73" i="27" s="1"/>
  <c r="K78" i="27"/>
  <c r="O78" i="27" s="1"/>
  <c r="Z78" i="27" s="1"/>
  <c r="G52" i="25"/>
  <c r="M52" i="25" s="1"/>
  <c r="G56" i="25"/>
  <c r="M56" i="25" s="1"/>
  <c r="G60" i="25"/>
  <c r="M60" i="25" s="1"/>
  <c r="M48" i="24"/>
  <c r="N48" i="24" s="1"/>
  <c r="M42" i="24"/>
  <c r="N42" i="24" s="1"/>
  <c r="M62" i="24"/>
  <c r="N62" i="24" s="1"/>
  <c r="Z68" i="27"/>
  <c r="Y74" i="27"/>
  <c r="Y79" i="27"/>
  <c r="X91" i="27"/>
  <c r="M50" i="24"/>
  <c r="N50" i="24" s="1"/>
  <c r="G64" i="25"/>
  <c r="M64" i="25" s="1"/>
  <c r="R76" i="14"/>
  <c r="H74" i="14"/>
  <c r="O74" i="14" s="1"/>
  <c r="P74" i="14" s="1"/>
  <c r="G50" i="25"/>
  <c r="M50" i="25" s="1"/>
  <c r="G54" i="25"/>
  <c r="M54" i="25" s="1"/>
  <c r="G58" i="25"/>
  <c r="M58" i="25" s="1"/>
  <c r="G62" i="25"/>
  <c r="M62" i="25" s="1"/>
  <c r="G66" i="25"/>
  <c r="M66" i="25" s="1"/>
  <c r="G70" i="25"/>
  <c r="M70" i="25" s="1"/>
  <c r="P72" i="24"/>
  <c r="H64" i="27"/>
  <c r="L64" i="27" s="1"/>
  <c r="W64" i="27" s="1"/>
  <c r="J66" i="27"/>
  <c r="N66" i="27" s="1"/>
  <c r="Y66" i="27" s="1"/>
  <c r="P74" i="27"/>
  <c r="I76" i="27"/>
  <c r="M76" i="27" s="1"/>
  <c r="X76" i="27" s="1"/>
  <c r="K81" i="27"/>
  <c r="O81" i="27" s="1"/>
  <c r="Z81" i="27" s="1"/>
  <c r="I87" i="27"/>
  <c r="M87" i="27" s="1"/>
  <c r="X87" i="27" s="1"/>
  <c r="H90" i="27"/>
  <c r="L90" i="27" s="1"/>
  <c r="W90" i="27" s="1"/>
  <c r="I64" i="27"/>
  <c r="M64" i="27" s="1"/>
  <c r="X64" i="27" s="1"/>
  <c r="I68" i="27"/>
  <c r="M68" i="27" s="1"/>
  <c r="X68" i="27" s="1"/>
  <c r="J65" i="27"/>
  <c r="N65" i="27" s="1"/>
  <c r="Y65" i="27" s="1"/>
  <c r="K71" i="27"/>
  <c r="O71" i="27" s="1"/>
  <c r="Z71" i="27" s="1"/>
  <c r="I73" i="27"/>
  <c r="M73" i="27" s="1"/>
  <c r="X73" i="27" s="1"/>
  <c r="J76" i="27"/>
  <c r="N76" i="27" s="1"/>
  <c r="Y76" i="27" s="1"/>
  <c r="H78" i="27"/>
  <c r="L78" i="27" s="1"/>
  <c r="W78" i="27" s="1"/>
  <c r="H91" i="27"/>
  <c r="L91" i="27" s="1"/>
  <c r="W91" i="27" s="1"/>
  <c r="P67" i="27"/>
  <c r="I67" i="27"/>
  <c r="M67" i="27" s="1"/>
  <c r="X67" i="27" s="1"/>
  <c r="K74" i="27"/>
  <c r="O74" i="27" s="1"/>
  <c r="Z74" i="27" s="1"/>
  <c r="I78" i="27"/>
  <c r="M78" i="27" s="1"/>
  <c r="X78" i="27" s="1"/>
  <c r="J82" i="27"/>
  <c r="N82" i="27" s="1"/>
  <c r="Y82" i="27" s="1"/>
  <c r="H94" i="27"/>
  <c r="L94" i="27" s="1"/>
  <c r="W94" i="27" s="1"/>
  <c r="P94" i="27"/>
  <c r="H67" i="27"/>
  <c r="L67" i="27" s="1"/>
  <c r="W67" i="27" s="1"/>
  <c r="P68" i="27"/>
  <c r="H71" i="27"/>
  <c r="L71" i="27" s="1"/>
  <c r="W71" i="27" s="1"/>
  <c r="I79" i="27"/>
  <c r="M79" i="27" s="1"/>
  <c r="X79" i="27" s="1"/>
  <c r="J85" i="27"/>
  <c r="N85" i="27" s="1"/>
  <c r="Y85" i="27" s="1"/>
  <c r="K87" i="27"/>
  <c r="O87" i="27" s="1"/>
  <c r="Z87" i="27" s="1"/>
  <c r="I89" i="27"/>
  <c r="M89" i="27" s="1"/>
  <c r="X89" i="27" s="1"/>
  <c r="I90" i="27"/>
  <c r="M90" i="27" s="1"/>
  <c r="X90" i="27" s="1"/>
  <c r="I92" i="27"/>
  <c r="M92" i="27" s="1"/>
  <c r="X92" i="27" s="1"/>
  <c r="I94" i="27"/>
  <c r="M94" i="27" s="1"/>
  <c r="X94" i="27" s="1"/>
  <c r="K95" i="27"/>
  <c r="O95" i="27" s="1"/>
  <c r="Z95" i="27" s="1"/>
  <c r="K64" i="27"/>
  <c r="O64" i="27" s="1"/>
  <c r="Z64" i="27" s="1"/>
  <c r="K67" i="27"/>
  <c r="O67" i="27" s="1"/>
  <c r="Z67" i="27" s="1"/>
  <c r="H68" i="27"/>
  <c r="L68" i="27" s="1"/>
  <c r="W68" i="27" s="1"/>
  <c r="I69" i="27"/>
  <c r="M69" i="27" s="1"/>
  <c r="X69" i="27" s="1"/>
  <c r="I71" i="27"/>
  <c r="M71" i="27" s="1"/>
  <c r="X71" i="27" s="1"/>
  <c r="J72" i="27"/>
  <c r="N72" i="27" s="1"/>
  <c r="Y72" i="27" s="1"/>
  <c r="H73" i="27"/>
  <c r="L73" i="27" s="1"/>
  <c r="W73" i="27" s="1"/>
  <c r="H74" i="27"/>
  <c r="L74" i="27" s="1"/>
  <c r="W74" i="27" s="1"/>
  <c r="H75" i="27"/>
  <c r="L75" i="27" s="1"/>
  <c r="W75" i="27" s="1"/>
  <c r="J78" i="27"/>
  <c r="N78" i="27" s="1"/>
  <c r="Y78" i="27" s="1"/>
  <c r="P78" i="27"/>
  <c r="P82" i="27"/>
  <c r="J90" i="27"/>
  <c r="N90" i="27" s="1"/>
  <c r="Y90" i="27" s="1"/>
  <c r="K90" i="27"/>
  <c r="O90" i="27" s="1"/>
  <c r="Z90" i="27" s="1"/>
  <c r="K91" i="27"/>
  <c r="O91" i="27" s="1"/>
  <c r="Z91" i="27" s="1"/>
  <c r="J93" i="27"/>
  <c r="N93" i="27" s="1"/>
  <c r="Y93" i="27" s="1"/>
  <c r="K94" i="27"/>
  <c r="O94" i="27" s="1"/>
  <c r="Z94" i="27" s="1"/>
  <c r="I77" i="27"/>
  <c r="M77" i="27" s="1"/>
  <c r="X77" i="27" s="1"/>
  <c r="H77" i="27"/>
  <c r="L77" i="27" s="1"/>
  <c r="W77" i="27" s="1"/>
  <c r="K70" i="27"/>
  <c r="O70" i="27" s="1"/>
  <c r="Z70" i="27" s="1"/>
  <c r="I70" i="27"/>
  <c r="M70" i="27" s="1"/>
  <c r="X70" i="27" s="1"/>
  <c r="P77" i="27"/>
  <c r="P84" i="27"/>
  <c r="H84" i="27"/>
  <c r="L84" i="27" s="1"/>
  <c r="W84" i="27" s="1"/>
  <c r="J84" i="27"/>
  <c r="N84" i="27" s="1"/>
  <c r="Y84" i="27" s="1"/>
  <c r="I84" i="27"/>
  <c r="M84" i="27" s="1"/>
  <c r="X84" i="27" s="1"/>
  <c r="H85" i="27"/>
  <c r="L85" i="27" s="1"/>
  <c r="W85" i="27" s="1"/>
  <c r="I66" i="27"/>
  <c r="M66" i="27" s="1"/>
  <c r="X66" i="27" s="1"/>
  <c r="P66" i="27"/>
  <c r="H66" i="27"/>
  <c r="L66" i="27" s="1"/>
  <c r="W66" i="27" s="1"/>
  <c r="H70" i="27"/>
  <c r="L70" i="27" s="1"/>
  <c r="W70" i="27" s="1"/>
  <c r="I72" i="27"/>
  <c r="M72" i="27" s="1"/>
  <c r="X72" i="27" s="1"/>
  <c r="J77" i="27"/>
  <c r="N77" i="27" s="1"/>
  <c r="Y77" i="27" s="1"/>
  <c r="K79" i="27"/>
  <c r="O79" i="27" s="1"/>
  <c r="Z79" i="27" s="1"/>
  <c r="H79" i="27"/>
  <c r="L79" i="27" s="1"/>
  <c r="W79" i="27" s="1"/>
  <c r="I82" i="27"/>
  <c r="M82" i="27" s="1"/>
  <c r="X82" i="27" s="1"/>
  <c r="H82" i="27"/>
  <c r="L82" i="27" s="1"/>
  <c r="W82" i="27" s="1"/>
  <c r="K86" i="27"/>
  <c r="O86" i="27" s="1"/>
  <c r="Z86" i="27" s="1"/>
  <c r="H86" i="27"/>
  <c r="L86" i="27" s="1"/>
  <c r="W86" i="27" s="1"/>
  <c r="I86" i="27"/>
  <c r="M86" i="27" s="1"/>
  <c r="X86" i="27" s="1"/>
  <c r="I88" i="27"/>
  <c r="M88" i="27" s="1"/>
  <c r="X88" i="27" s="1"/>
  <c r="J88" i="27"/>
  <c r="N88" i="27" s="1"/>
  <c r="Y88" i="27" s="1"/>
  <c r="P69" i="27"/>
  <c r="H69" i="27"/>
  <c r="L69" i="27" s="1"/>
  <c r="W69" i="27" s="1"/>
  <c r="K69" i="27"/>
  <c r="O69" i="27" s="1"/>
  <c r="Z69" i="27" s="1"/>
  <c r="Q78" i="27"/>
  <c r="R78" i="27" s="1"/>
  <c r="P65" i="27"/>
  <c r="H65" i="27"/>
  <c r="L65" i="27" s="1"/>
  <c r="W65" i="27" s="1"/>
  <c r="K65" i="27"/>
  <c r="O65" i="27" s="1"/>
  <c r="Z65" i="27" s="1"/>
  <c r="P80" i="27"/>
  <c r="H80" i="27"/>
  <c r="L80" i="27" s="1"/>
  <c r="W80" i="27" s="1"/>
  <c r="I80" i="27"/>
  <c r="M80" i="27" s="1"/>
  <c r="X80" i="27" s="1"/>
  <c r="Q90" i="27"/>
  <c r="R90" i="27" s="1"/>
  <c r="I65" i="27"/>
  <c r="M65" i="27" s="1"/>
  <c r="X65" i="27" s="1"/>
  <c r="J69" i="27"/>
  <c r="N69" i="27" s="1"/>
  <c r="Y69" i="27" s="1"/>
  <c r="K77" i="27"/>
  <c r="O77" i="27" s="1"/>
  <c r="Z77" i="27" s="1"/>
  <c r="P79" i="27"/>
  <c r="J80" i="27"/>
  <c r="N80" i="27" s="1"/>
  <c r="Y80" i="27" s="1"/>
  <c r="I81" i="27"/>
  <c r="M81" i="27" s="1"/>
  <c r="X81" i="27" s="1"/>
  <c r="J81" i="27"/>
  <c r="N81" i="27" s="1"/>
  <c r="Y81" i="27" s="1"/>
  <c r="H81" i="27"/>
  <c r="L81" i="27" s="1"/>
  <c r="W81" i="27" s="1"/>
  <c r="P81" i="27"/>
  <c r="K82" i="27"/>
  <c r="O82" i="27" s="1"/>
  <c r="Z82" i="27" s="1"/>
  <c r="K83" i="27"/>
  <c r="O83" i="27" s="1"/>
  <c r="Z83" i="27" s="1"/>
  <c r="I83" i="27"/>
  <c r="M83" i="27" s="1"/>
  <c r="X83" i="27" s="1"/>
  <c r="H83" i="27"/>
  <c r="L83" i="27" s="1"/>
  <c r="W83" i="27" s="1"/>
  <c r="P83" i="27"/>
  <c r="K84" i="27"/>
  <c r="O84" i="27" s="1"/>
  <c r="Z84" i="27" s="1"/>
  <c r="K93" i="27"/>
  <c r="O93" i="27" s="1"/>
  <c r="Z93" i="27" s="1"/>
  <c r="P93" i="27"/>
  <c r="J95" i="27"/>
  <c r="N95" i="27" s="1"/>
  <c r="Y95" i="27" s="1"/>
  <c r="J64" i="27"/>
  <c r="N64" i="27" s="1"/>
  <c r="Y64" i="27" s="1"/>
  <c r="J68" i="27"/>
  <c r="N68" i="27" s="1"/>
  <c r="K73" i="27"/>
  <c r="O73" i="27" s="1"/>
  <c r="Z73" i="27" s="1"/>
  <c r="P73" i="27"/>
  <c r="J75" i="27"/>
  <c r="N75" i="27" s="1"/>
  <c r="Y75" i="27" s="1"/>
  <c r="P75" i="27"/>
  <c r="P76" i="27"/>
  <c r="H76" i="27"/>
  <c r="L76" i="27" s="1"/>
  <c r="W76" i="27" s="1"/>
  <c r="K76" i="27"/>
  <c r="O76" i="27" s="1"/>
  <c r="Z76" i="27" s="1"/>
  <c r="K89" i="27"/>
  <c r="O89" i="27" s="1"/>
  <c r="P89" i="27"/>
  <c r="J91" i="27"/>
  <c r="N91" i="27" s="1"/>
  <c r="Y91" i="27" s="1"/>
  <c r="P91" i="27"/>
  <c r="P92" i="27"/>
  <c r="H92" i="27"/>
  <c r="L92" i="27" s="1"/>
  <c r="W92" i="27" s="1"/>
  <c r="K92" i="27"/>
  <c r="O92" i="27" s="1"/>
  <c r="Z92" i="27" s="1"/>
  <c r="P95" i="27"/>
  <c r="J70" i="27"/>
  <c r="N70" i="27" s="1"/>
  <c r="Y70" i="27" s="1"/>
  <c r="J71" i="27"/>
  <c r="N71" i="27" s="1"/>
  <c r="Y71" i="27" s="1"/>
  <c r="P71" i="27"/>
  <c r="P72" i="27"/>
  <c r="H72" i="27"/>
  <c r="L72" i="27" s="1"/>
  <c r="W72" i="27" s="1"/>
  <c r="K72" i="27"/>
  <c r="O72" i="27" s="1"/>
  <c r="Z72" i="27" s="1"/>
  <c r="I85" i="27"/>
  <c r="M85" i="27" s="1"/>
  <c r="X85" i="27" s="1"/>
  <c r="K85" i="27"/>
  <c r="O85" i="27" s="1"/>
  <c r="Z85" i="27" s="1"/>
  <c r="P85" i="27"/>
  <c r="J86" i="27"/>
  <c r="N86" i="27" s="1"/>
  <c r="Y86" i="27" s="1"/>
  <c r="J87" i="27"/>
  <c r="N87" i="27" s="1"/>
  <c r="Y87" i="27" s="1"/>
  <c r="P87" i="27"/>
  <c r="P88" i="27"/>
  <c r="H88" i="27"/>
  <c r="L88" i="27" s="1"/>
  <c r="W88" i="27" s="1"/>
  <c r="K88" i="27"/>
  <c r="O88" i="27" s="1"/>
  <c r="Z88" i="27" s="1"/>
  <c r="H93" i="27"/>
  <c r="L93" i="27" s="1"/>
  <c r="W93" i="27" s="1"/>
  <c r="H95" i="27"/>
  <c r="L95" i="27" s="1"/>
  <c r="W95" i="27" s="1"/>
  <c r="M55" i="24"/>
  <c r="N55" i="24" s="1"/>
  <c r="M63" i="24"/>
  <c r="N63" i="24" s="1"/>
  <c r="N72" i="24"/>
  <c r="M47" i="24"/>
  <c r="N47" i="24" s="1"/>
  <c r="M43" i="24"/>
  <c r="N43" i="24" s="1"/>
  <c r="M44" i="24"/>
  <c r="N44" i="24" s="1"/>
  <c r="M45" i="24"/>
  <c r="N45" i="24" s="1"/>
  <c r="M52" i="24"/>
  <c r="N52" i="24" s="1"/>
  <c r="M53" i="24"/>
  <c r="N53" i="24" s="1"/>
  <c r="M60" i="24"/>
  <c r="N60" i="24" s="1"/>
  <c r="M61" i="24"/>
  <c r="N61" i="24" s="1"/>
  <c r="M68" i="24"/>
  <c r="N68" i="24" s="1"/>
  <c r="M69" i="24"/>
  <c r="N69" i="24" s="1"/>
  <c r="M71" i="24"/>
  <c r="N71" i="24" s="1"/>
  <c r="J44" i="25"/>
  <c r="K44" i="25" s="1"/>
  <c r="J60" i="25"/>
  <c r="K60" i="25" s="1"/>
  <c r="H72" i="25"/>
  <c r="N72" i="25" s="1"/>
  <c r="G72" i="25"/>
  <c r="I72" i="25"/>
  <c r="O72" i="25" s="1"/>
  <c r="H41" i="25"/>
  <c r="H42" i="25"/>
  <c r="H43" i="25"/>
  <c r="H44" i="25"/>
  <c r="N44" i="25" s="1"/>
  <c r="H45" i="25"/>
  <c r="N45" i="25" s="1"/>
  <c r="H46" i="25"/>
  <c r="N46" i="25" s="1"/>
  <c r="H47" i="25"/>
  <c r="H48" i="25"/>
  <c r="H49" i="25"/>
  <c r="H50" i="25"/>
  <c r="H51" i="25"/>
  <c r="H52" i="25"/>
  <c r="H53" i="25"/>
  <c r="H54" i="25"/>
  <c r="H55" i="25"/>
  <c r="H56" i="25"/>
  <c r="N56" i="25" s="1"/>
  <c r="H57" i="25"/>
  <c r="H58" i="25"/>
  <c r="H59" i="25"/>
  <c r="H60" i="25"/>
  <c r="N60" i="25" s="1"/>
  <c r="H61" i="25"/>
  <c r="N61" i="25" s="1"/>
  <c r="H62" i="25"/>
  <c r="N62" i="25" s="1"/>
  <c r="H63" i="25"/>
  <c r="H64" i="25"/>
  <c r="H65" i="25"/>
  <c r="H66" i="25"/>
  <c r="H67" i="25"/>
  <c r="H68" i="25"/>
  <c r="N68" i="25" s="1"/>
  <c r="H69" i="25"/>
  <c r="N69" i="25" s="1"/>
  <c r="H70" i="25"/>
  <c r="G71" i="25"/>
  <c r="H71" i="25"/>
  <c r="N71" i="25" s="1"/>
  <c r="X96" i="27" l="1"/>
  <c r="J62" i="25"/>
  <c r="K62" i="25" s="1"/>
  <c r="J51" i="25"/>
  <c r="K51" i="25" s="1"/>
  <c r="N51" i="25"/>
  <c r="J50" i="25"/>
  <c r="K50" i="25" s="1"/>
  <c r="N50" i="25"/>
  <c r="Q89" i="27"/>
  <c r="R89" i="27" s="1"/>
  <c r="Z89" i="27"/>
  <c r="J49" i="25"/>
  <c r="K49" i="25" s="1"/>
  <c r="N49" i="25"/>
  <c r="J48" i="25"/>
  <c r="K48" i="25" s="1"/>
  <c r="N48" i="25"/>
  <c r="J46" i="25"/>
  <c r="K46" i="25" s="1"/>
  <c r="M73" i="25"/>
  <c r="J57" i="25"/>
  <c r="K57" i="25" s="1"/>
  <c r="N57" i="25"/>
  <c r="J69" i="25"/>
  <c r="K69" i="25" s="1"/>
  <c r="J63" i="25"/>
  <c r="K63" i="25" s="1"/>
  <c r="N63" i="25"/>
  <c r="J72" i="25"/>
  <c r="K72" i="25" s="1"/>
  <c r="M72" i="25"/>
  <c r="J59" i="25"/>
  <c r="K59" i="25" s="1"/>
  <c r="N59" i="25"/>
  <c r="O73" i="25"/>
  <c r="J56" i="25"/>
  <c r="K56" i="25" s="1"/>
  <c r="J43" i="25"/>
  <c r="K43" i="25" s="1"/>
  <c r="N43" i="25"/>
  <c r="W96" i="27"/>
  <c r="J58" i="25"/>
  <c r="K58" i="25" s="1"/>
  <c r="N58" i="25"/>
  <c r="Q94" i="27"/>
  <c r="R94" i="27" s="1"/>
  <c r="C37" i="18"/>
  <c r="J45" i="25"/>
  <c r="K45" i="25" s="1"/>
  <c r="K73" i="25" s="1"/>
  <c r="J66" i="25"/>
  <c r="K66" i="25" s="1"/>
  <c r="N66" i="25"/>
  <c r="J54" i="25"/>
  <c r="K54" i="25" s="1"/>
  <c r="N54" i="25"/>
  <c r="J42" i="25"/>
  <c r="K42" i="25" s="1"/>
  <c r="N42" i="25"/>
  <c r="J68" i="25"/>
  <c r="K68" i="25" s="1"/>
  <c r="Q68" i="27"/>
  <c r="R68" i="27" s="1"/>
  <c r="Y68" i="27"/>
  <c r="Q74" i="27"/>
  <c r="R74" i="27" s="1"/>
  <c r="J47" i="25"/>
  <c r="K47" i="25" s="1"/>
  <c r="N47" i="25"/>
  <c r="J67" i="25"/>
  <c r="K67" i="25" s="1"/>
  <c r="N67" i="25"/>
  <c r="J55" i="25"/>
  <c r="K55" i="25" s="1"/>
  <c r="N55" i="25"/>
  <c r="J41" i="25"/>
  <c r="K41" i="25" s="1"/>
  <c r="N41" i="25"/>
  <c r="Y96" i="27"/>
  <c r="J71" i="25"/>
  <c r="K71" i="25" s="1"/>
  <c r="M71" i="25"/>
  <c r="J70" i="25"/>
  <c r="K70" i="25" s="1"/>
  <c r="N70" i="25"/>
  <c r="N73" i="24"/>
  <c r="J65" i="25"/>
  <c r="K65" i="25" s="1"/>
  <c r="N65" i="25"/>
  <c r="J53" i="25"/>
  <c r="K53" i="25" s="1"/>
  <c r="N53" i="25"/>
  <c r="J61" i="25"/>
  <c r="K61" i="25" s="1"/>
  <c r="J64" i="25"/>
  <c r="K64" i="25" s="1"/>
  <c r="N64" i="25"/>
  <c r="J52" i="25"/>
  <c r="K52" i="25" s="1"/>
  <c r="N52" i="25"/>
  <c r="Z96" i="27"/>
  <c r="Q93" i="27"/>
  <c r="R93" i="27" s="1"/>
  <c r="Q75" i="27"/>
  <c r="R75" i="27" s="1"/>
  <c r="Q64" i="27"/>
  <c r="R64" i="27" s="1"/>
  <c r="Q73" i="27"/>
  <c r="R73" i="27" s="1"/>
  <c r="Q82" i="27"/>
  <c r="R82" i="27" s="1"/>
  <c r="Q67" i="27"/>
  <c r="R67" i="27" s="1"/>
  <c r="Q81" i="27"/>
  <c r="R81" i="27" s="1"/>
  <c r="Q71" i="27"/>
  <c r="R71" i="27" s="1"/>
  <c r="Q91" i="27"/>
  <c r="R91" i="27" s="1"/>
  <c r="Q76" i="27"/>
  <c r="R76" i="27" s="1"/>
  <c r="Q84" i="27"/>
  <c r="R84" i="27" s="1"/>
  <c r="Q88" i="27"/>
  <c r="R88" i="27" s="1"/>
  <c r="Q92" i="27"/>
  <c r="R92" i="27" s="1"/>
  <c r="Q86" i="27"/>
  <c r="R86" i="27" s="1"/>
  <c r="Q79" i="27"/>
  <c r="R79" i="27" s="1"/>
  <c r="Q70" i="27"/>
  <c r="R70" i="27" s="1"/>
  <c r="Q85" i="27"/>
  <c r="R85" i="27" s="1"/>
  <c r="Q87" i="27"/>
  <c r="R87" i="27" s="1"/>
  <c r="Q95" i="27"/>
  <c r="R95" i="27" s="1"/>
  <c r="Q72" i="27"/>
  <c r="R72" i="27" s="1"/>
  <c r="Q83" i="27"/>
  <c r="R83" i="27" s="1"/>
  <c r="Q80" i="27"/>
  <c r="R80" i="27" s="1"/>
  <c r="Q65" i="27"/>
  <c r="R65" i="27" s="1"/>
  <c r="Q69" i="27"/>
  <c r="R69" i="27" s="1"/>
  <c r="Q66" i="27"/>
  <c r="R66" i="27" s="1"/>
  <c r="Q77" i="27"/>
  <c r="R77" i="27" s="1"/>
  <c r="C38" i="18" l="1"/>
  <c r="C40" i="18"/>
  <c r="N73" i="25"/>
  <c r="R96" i="27"/>
  <c r="J94" i="31"/>
  <c r="J93" i="31"/>
  <c r="J92" i="31"/>
  <c r="J91" i="31"/>
  <c r="J90" i="31"/>
  <c r="J89" i="31"/>
  <c r="J88" i="31"/>
  <c r="J87" i="31"/>
  <c r="J86" i="31"/>
  <c r="J85" i="31"/>
  <c r="J84" i="31"/>
  <c r="J83" i="31"/>
  <c r="J82" i="31"/>
  <c r="J81" i="31"/>
  <c r="J80" i="31"/>
  <c r="J79" i="31"/>
  <c r="J78" i="31"/>
  <c r="P77" i="31"/>
  <c r="P79" i="31" s="1"/>
  <c r="J77" i="31"/>
  <c r="J76" i="31"/>
  <c r="E76" i="31"/>
  <c r="F76" i="31" s="1"/>
  <c r="J75" i="31"/>
  <c r="F75" i="31"/>
  <c r="J74" i="31"/>
  <c r="J73" i="31"/>
  <c r="J72" i="31"/>
  <c r="E72" i="31"/>
  <c r="E73" i="31" s="1"/>
  <c r="E74" i="31" s="1"/>
  <c r="F74" i="31" s="1"/>
  <c r="J71" i="31"/>
  <c r="F71" i="31"/>
  <c r="J70" i="31"/>
  <c r="K70" i="31" s="1"/>
  <c r="J69" i="31"/>
  <c r="J68" i="31"/>
  <c r="K68" i="31" s="1"/>
  <c r="E68" i="31"/>
  <c r="J67" i="31"/>
  <c r="E67" i="31"/>
  <c r="F67" i="31" s="1"/>
  <c r="J66" i="31"/>
  <c r="K66" i="31" s="1"/>
  <c r="F66" i="31"/>
  <c r="C66" i="31"/>
  <c r="C67" i="31" s="1"/>
  <c r="C68" i="31" s="1"/>
  <c r="C69" i="31" s="1"/>
  <c r="C70" i="31" s="1"/>
  <c r="C71" i="31" s="1"/>
  <c r="C72" i="31" s="1"/>
  <c r="C73" i="31" s="1"/>
  <c r="C74" i="31" s="1"/>
  <c r="C75" i="31" s="1"/>
  <c r="J65" i="31"/>
  <c r="K65" i="31" s="1"/>
  <c r="F65" i="31"/>
  <c r="G65" i="31" s="1"/>
  <c r="J64" i="31"/>
  <c r="K64" i="31" s="1"/>
  <c r="F64" i="31"/>
  <c r="G64" i="31" s="1"/>
  <c r="J63" i="31"/>
  <c r="K63" i="31" s="1"/>
  <c r="F63" i="31"/>
  <c r="G63" i="31" s="1"/>
  <c r="I34" i="19"/>
  <c r="J34" i="19" s="1"/>
  <c r="J7" i="19"/>
  <c r="H4" i="19"/>
  <c r="H5" i="19" s="1"/>
  <c r="H6" i="19" s="1"/>
  <c r="H7" i="19" s="1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H32" i="19" s="1"/>
  <c r="E77" i="31" l="1"/>
  <c r="G66" i="31"/>
  <c r="P81" i="31"/>
  <c r="G67" i="31"/>
  <c r="C39" i="18"/>
  <c r="G71" i="31"/>
  <c r="K72" i="31"/>
  <c r="F72" i="31"/>
  <c r="G72" i="31" s="1"/>
  <c r="K67" i="31"/>
  <c r="K69" i="31"/>
  <c r="J35" i="19"/>
  <c r="B35" i="18" s="1"/>
  <c r="C76" i="31"/>
  <c r="K76" i="31" s="1"/>
  <c r="K75" i="31"/>
  <c r="K73" i="31"/>
  <c r="E69" i="31"/>
  <c r="F68" i="31"/>
  <c r="G68" i="31" s="1"/>
  <c r="G74" i="31"/>
  <c r="K71" i="31"/>
  <c r="K74" i="31"/>
  <c r="E78" i="31"/>
  <c r="F77" i="31"/>
  <c r="G75" i="31"/>
  <c r="P80" i="31"/>
  <c r="P83" i="31"/>
  <c r="F73" i="31"/>
  <c r="G73" i="31" s="1"/>
  <c r="F69" i="31" l="1"/>
  <c r="G69" i="31" s="1"/>
  <c r="E70" i="31"/>
  <c r="F70" i="31" s="1"/>
  <c r="G70" i="31" s="1"/>
  <c r="E79" i="31"/>
  <c r="F78" i="31"/>
  <c r="C77" i="31"/>
  <c r="G77" i="31" s="1"/>
  <c r="G76" i="31"/>
  <c r="C78" i="31" l="1"/>
  <c r="K77" i="31"/>
  <c r="G78" i="31"/>
  <c r="F79" i="31"/>
  <c r="E80" i="31"/>
  <c r="E81" i="31" l="1"/>
  <c r="F80" i="31"/>
  <c r="C79" i="31"/>
  <c r="K78" i="31"/>
  <c r="C80" i="31" l="1"/>
  <c r="K79" i="31"/>
  <c r="G80" i="31"/>
  <c r="G79" i="31"/>
  <c r="E82" i="31"/>
  <c r="F81" i="31"/>
  <c r="F82" i="31" l="1"/>
  <c r="E83" i="31"/>
  <c r="C81" i="31"/>
  <c r="K80" i="31"/>
  <c r="C82" i="31" l="1"/>
  <c r="K81" i="31"/>
  <c r="E84" i="31"/>
  <c r="F83" i="31"/>
  <c r="G81" i="31"/>
  <c r="E85" i="31" l="1"/>
  <c r="F84" i="31"/>
  <c r="C83" i="31"/>
  <c r="G83" i="31" s="1"/>
  <c r="K82" i="31"/>
  <c r="G82" i="31"/>
  <c r="F85" i="31" l="1"/>
  <c r="E86" i="31"/>
  <c r="C84" i="31"/>
  <c r="K83" i="31"/>
  <c r="E87" i="31" l="1"/>
  <c r="F86" i="31"/>
  <c r="C85" i="31"/>
  <c r="K84" i="31"/>
  <c r="G84" i="31"/>
  <c r="C86" i="31" l="1"/>
  <c r="K85" i="31"/>
  <c r="G85" i="31"/>
  <c r="G86" i="31"/>
  <c r="F87" i="31"/>
  <c r="E88" i="31"/>
  <c r="E89" i="31" l="1"/>
  <c r="F88" i="31"/>
  <c r="C87" i="31"/>
  <c r="K86" i="31"/>
  <c r="C88" i="31" l="1"/>
  <c r="K87" i="31"/>
  <c r="G87" i="31"/>
  <c r="G88" i="31"/>
  <c r="F89" i="31"/>
  <c r="E90" i="31"/>
  <c r="E91" i="31" l="1"/>
  <c r="F90" i="31"/>
  <c r="C89" i="31"/>
  <c r="G89" i="31" s="1"/>
  <c r="K88" i="31"/>
  <c r="C90" i="31" l="1"/>
  <c r="K89" i="31"/>
  <c r="F91" i="31"/>
  <c r="E92" i="31"/>
  <c r="C91" i="31" l="1"/>
  <c r="K90" i="31"/>
  <c r="E93" i="31"/>
  <c r="F92" i="31"/>
  <c r="G90" i="31"/>
  <c r="F93" i="31" l="1"/>
  <c r="E94" i="31"/>
  <c r="F94" i="31" s="1"/>
  <c r="C92" i="31"/>
  <c r="K91" i="31"/>
  <c r="G91" i="31"/>
  <c r="C93" i="31" l="1"/>
  <c r="K92" i="31"/>
  <c r="G92" i="31"/>
  <c r="G93" i="31"/>
  <c r="C94" i="31" l="1"/>
  <c r="K93" i="31"/>
  <c r="K94" i="31" l="1"/>
  <c r="K99" i="31" s="1"/>
  <c r="B36" i="18" s="1"/>
  <c r="B41" i="18" s="1"/>
  <c r="G94" i="31"/>
  <c r="G99" i="31" s="1"/>
  <c r="I102" i="31" l="1"/>
  <c r="C36" i="18"/>
  <c r="C41" i="18" s="1"/>
  <c r="C42" i="18" s="1"/>
  <c r="D13" i="31"/>
  <c r="D38" i="19" l="1"/>
  <c r="E7" i="19" l="1"/>
  <c r="J42" i="31" l="1"/>
  <c r="F42" i="31"/>
  <c r="J41" i="31"/>
  <c r="F41" i="31"/>
  <c r="J40" i="31"/>
  <c r="F40" i="31"/>
  <c r="J39" i="31"/>
  <c r="F39" i="31"/>
  <c r="J38" i="31"/>
  <c r="F38" i="31"/>
  <c r="J37" i="31"/>
  <c r="F37" i="31"/>
  <c r="J36" i="31"/>
  <c r="F36" i="31"/>
  <c r="J35" i="31"/>
  <c r="F35" i="31"/>
  <c r="J34" i="31"/>
  <c r="F34" i="31"/>
  <c r="J33" i="31"/>
  <c r="F33" i="31"/>
  <c r="J32" i="31"/>
  <c r="F32" i="31"/>
  <c r="J31" i="31"/>
  <c r="F31" i="31"/>
  <c r="P30" i="31"/>
  <c r="J30" i="31"/>
  <c r="F30" i="31"/>
  <c r="J29" i="31"/>
  <c r="F29" i="31"/>
  <c r="J28" i="31"/>
  <c r="F28" i="31"/>
  <c r="J27" i="31"/>
  <c r="F27" i="31"/>
  <c r="J26" i="31"/>
  <c r="F26" i="31"/>
  <c r="O25" i="31"/>
  <c r="P25" i="31" s="1"/>
  <c r="J25" i="31"/>
  <c r="F25" i="31"/>
  <c r="J24" i="31"/>
  <c r="F24" i="31"/>
  <c r="J23" i="31"/>
  <c r="F23" i="31"/>
  <c r="J22" i="31"/>
  <c r="F22" i="31"/>
  <c r="J21" i="31"/>
  <c r="F21" i="31"/>
  <c r="J20" i="31"/>
  <c r="F20" i="31"/>
  <c r="J19" i="31"/>
  <c r="F19" i="31"/>
  <c r="J18" i="31"/>
  <c r="F18" i="31"/>
  <c r="J17" i="31"/>
  <c r="J16" i="31"/>
  <c r="E16" i="31"/>
  <c r="E17" i="31" s="1"/>
  <c r="F17" i="31" s="1"/>
  <c r="J15" i="31"/>
  <c r="E15" i="31"/>
  <c r="F15" i="31" s="1"/>
  <c r="J14" i="31"/>
  <c r="F14" i="31"/>
  <c r="C14" i="31"/>
  <c r="G14" i="31" s="1"/>
  <c r="J13" i="31"/>
  <c r="K13" i="31" s="1"/>
  <c r="F13" i="31"/>
  <c r="G13" i="31" s="1"/>
  <c r="J12" i="31"/>
  <c r="K12" i="31" s="1"/>
  <c r="F12" i="31"/>
  <c r="G12" i="31" s="1"/>
  <c r="J11" i="31"/>
  <c r="K11" i="31" s="1"/>
  <c r="F11" i="31"/>
  <c r="G11" i="31" s="1"/>
  <c r="K14" i="31" l="1"/>
  <c r="P31" i="31"/>
  <c r="P27" i="31"/>
  <c r="P29" i="31"/>
  <c r="P28" i="31"/>
  <c r="C15" i="31"/>
  <c r="G15" i="31" s="1"/>
  <c r="F16" i="31"/>
  <c r="K15" i="31" l="1"/>
  <c r="C16" i="31"/>
  <c r="C17" i="31" l="1"/>
  <c r="K16" i="31"/>
  <c r="G16" i="31"/>
  <c r="K17" i="31" l="1"/>
  <c r="C18" i="31"/>
  <c r="G17" i="31"/>
  <c r="K18" i="31" l="1"/>
  <c r="C19" i="31"/>
  <c r="G18" i="31"/>
  <c r="G19" i="31" l="1"/>
  <c r="C20" i="31"/>
  <c r="K19" i="31"/>
  <c r="C21" i="31" l="1"/>
  <c r="G20" i="31"/>
  <c r="K20" i="31"/>
  <c r="K21" i="31" l="1"/>
  <c r="C22" i="31"/>
  <c r="G21" i="31"/>
  <c r="K22" i="31" l="1"/>
  <c r="C23" i="31"/>
  <c r="G22" i="31"/>
  <c r="G23" i="31" l="1"/>
  <c r="C24" i="31"/>
  <c r="K23" i="31"/>
  <c r="C25" i="31" l="1"/>
  <c r="G24" i="31"/>
  <c r="K24" i="31"/>
  <c r="K25" i="31" l="1"/>
  <c r="C26" i="31"/>
  <c r="G25" i="31"/>
  <c r="C27" i="31" l="1"/>
  <c r="G26" i="31"/>
  <c r="K26" i="31"/>
  <c r="K27" i="31" l="1"/>
  <c r="C28" i="31"/>
  <c r="G27" i="31"/>
  <c r="C29" i="31" l="1"/>
  <c r="G28" i="31"/>
  <c r="K28" i="31"/>
  <c r="K29" i="31" l="1"/>
  <c r="C30" i="31"/>
  <c r="G29" i="31"/>
  <c r="C31" i="31" l="1"/>
  <c r="G30" i="31"/>
  <c r="K30" i="31"/>
  <c r="K31" i="31" l="1"/>
  <c r="C32" i="31"/>
  <c r="G31" i="31"/>
  <c r="C33" i="31" l="1"/>
  <c r="G32" i="31"/>
  <c r="K32" i="31"/>
  <c r="K33" i="31" l="1"/>
  <c r="C34" i="31"/>
  <c r="G33" i="31"/>
  <c r="K34" i="31" l="1"/>
  <c r="C35" i="31"/>
  <c r="G34" i="31"/>
  <c r="G35" i="31" l="1"/>
  <c r="C36" i="31"/>
  <c r="K35" i="31"/>
  <c r="C37" i="31" l="1"/>
  <c r="G36" i="31"/>
  <c r="K36" i="31"/>
  <c r="K37" i="31" l="1"/>
  <c r="C38" i="31"/>
  <c r="G37" i="31"/>
  <c r="K38" i="31" l="1"/>
  <c r="C39" i="31"/>
  <c r="G38" i="31"/>
  <c r="G39" i="31" l="1"/>
  <c r="C40" i="31"/>
  <c r="K39" i="31"/>
  <c r="C41" i="31" l="1"/>
  <c r="G40" i="31"/>
  <c r="K40" i="31"/>
  <c r="C42" i="31" l="1"/>
  <c r="K41" i="31"/>
  <c r="G41" i="31"/>
  <c r="G42" i="31" l="1"/>
  <c r="G47" i="31" s="1"/>
  <c r="C22" i="18" s="1"/>
  <c r="C6" i="18" s="1"/>
  <c r="K42" i="31"/>
  <c r="K47" i="31" s="1"/>
  <c r="B22" i="18" s="1"/>
  <c r="B6" i="18" s="1"/>
  <c r="I50" i="31" l="1"/>
  <c r="G16" i="27" l="1"/>
  <c r="F15" i="27" l="1"/>
  <c r="P15" i="27" s="1"/>
  <c r="G15" i="27"/>
  <c r="F16" i="27"/>
  <c r="P16" i="27" s="1"/>
  <c r="F17" i="27"/>
  <c r="P17" i="27" s="1"/>
  <c r="G17" i="27"/>
  <c r="F18" i="27"/>
  <c r="P18" i="27" s="1"/>
  <c r="G18" i="27"/>
  <c r="F19" i="27"/>
  <c r="P19" i="27" s="1"/>
  <c r="G19" i="27"/>
  <c r="F20" i="27"/>
  <c r="P20" i="27" s="1"/>
  <c r="G20" i="27"/>
  <c r="F21" i="27"/>
  <c r="I21" i="27" s="1"/>
  <c r="G21" i="27"/>
  <c r="F22" i="27"/>
  <c r="P22" i="27" s="1"/>
  <c r="G22" i="27"/>
  <c r="F23" i="27"/>
  <c r="P23" i="27" s="1"/>
  <c r="G23" i="27"/>
  <c r="F24" i="27"/>
  <c r="P24" i="27" s="1"/>
  <c r="G24" i="27"/>
  <c r="F25" i="27"/>
  <c r="P25" i="27" s="1"/>
  <c r="G25" i="27"/>
  <c r="F26" i="27"/>
  <c r="P26" i="27" s="1"/>
  <c r="G26" i="27"/>
  <c r="F27" i="27"/>
  <c r="P27" i="27" s="1"/>
  <c r="G27" i="27"/>
  <c r="F28" i="27"/>
  <c r="P28" i="27" s="1"/>
  <c r="G28" i="27"/>
  <c r="F29" i="27"/>
  <c r="P29" i="27" s="1"/>
  <c r="G29" i="27"/>
  <c r="F30" i="27"/>
  <c r="P30" i="27" s="1"/>
  <c r="G30" i="27"/>
  <c r="F31" i="27"/>
  <c r="P31" i="27" s="1"/>
  <c r="G31" i="27"/>
  <c r="F32" i="27"/>
  <c r="P32" i="27" s="1"/>
  <c r="G32" i="27"/>
  <c r="F33" i="27"/>
  <c r="P33" i="27" s="1"/>
  <c r="G33" i="27"/>
  <c r="F34" i="27"/>
  <c r="P34" i="27" s="1"/>
  <c r="G34" i="27"/>
  <c r="F35" i="27"/>
  <c r="P35" i="27" s="1"/>
  <c r="G35" i="27"/>
  <c r="F36" i="27"/>
  <c r="P36" i="27" s="1"/>
  <c r="G36" i="27"/>
  <c r="F37" i="27"/>
  <c r="P37" i="27" s="1"/>
  <c r="G37" i="27"/>
  <c r="F38" i="27"/>
  <c r="P38" i="27" s="1"/>
  <c r="G38" i="27"/>
  <c r="F39" i="27"/>
  <c r="P39" i="27" s="1"/>
  <c r="G39" i="27"/>
  <c r="F40" i="27"/>
  <c r="P40" i="27" s="1"/>
  <c r="G40" i="27"/>
  <c r="F41" i="27"/>
  <c r="P41" i="27" s="1"/>
  <c r="G41" i="27"/>
  <c r="F42" i="27"/>
  <c r="P42" i="27" s="1"/>
  <c r="G42" i="27"/>
  <c r="F43" i="27"/>
  <c r="P43" i="27" s="1"/>
  <c r="G43" i="27"/>
  <c r="F44" i="27"/>
  <c r="P44" i="27" s="1"/>
  <c r="G44" i="27"/>
  <c r="F45" i="27"/>
  <c r="P45" i="27" s="1"/>
  <c r="G45" i="27"/>
  <c r="G14" i="27"/>
  <c r="F14" i="27"/>
  <c r="P14" i="27" s="1"/>
  <c r="P21" i="27" l="1"/>
  <c r="H21" i="27"/>
  <c r="A34" i="25"/>
  <c r="D34" i="25"/>
  <c r="F34" i="25" s="1"/>
  <c r="H34" i="25" s="1"/>
  <c r="N34" i="25" s="1"/>
  <c r="A35" i="25"/>
  <c r="D35" i="25"/>
  <c r="F35" i="25" s="1"/>
  <c r="I35" i="25" s="1"/>
  <c r="O35" i="25" l="1"/>
  <c r="H35" i="25"/>
  <c r="N35" i="25" s="1"/>
  <c r="G35" i="25"/>
  <c r="M35" i="25" s="1"/>
  <c r="G34" i="25"/>
  <c r="M34" i="25" s="1"/>
  <c r="I34" i="25"/>
  <c r="O34" i="25" s="1"/>
  <c r="J34" i="25"/>
  <c r="J35" i="25" l="1"/>
  <c r="A15" i="27" l="1"/>
  <c r="C4" i="19"/>
  <c r="C5" i="19" s="1"/>
  <c r="C6" i="19" s="1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J13" i="14" l="1"/>
  <c r="J12" i="14"/>
  <c r="J11" i="14"/>
  <c r="J10" i="14"/>
  <c r="N10" i="14" s="1"/>
  <c r="R10" i="14" s="1"/>
  <c r="J9" i="14"/>
  <c r="N9" i="14" s="1"/>
  <c r="R9" i="14" s="1"/>
  <c r="J8" i="14"/>
  <c r="N8" i="14" s="1"/>
  <c r="R8" i="14" s="1"/>
  <c r="J7" i="14"/>
  <c r="N7" i="14" s="1"/>
  <c r="R7" i="14" s="1"/>
  <c r="J6" i="14"/>
  <c r="N6" i="14" s="1"/>
  <c r="R6" i="14" s="1"/>
  <c r="J5" i="14"/>
  <c r="N5" i="14" s="1"/>
  <c r="R5" i="14" s="1"/>
  <c r="J4" i="14"/>
  <c r="N4" i="14" s="1"/>
  <c r="R4" i="14" s="1"/>
  <c r="D13" i="14"/>
  <c r="D12" i="14"/>
  <c r="D11" i="14"/>
  <c r="D10" i="14"/>
  <c r="D9" i="14"/>
  <c r="D8" i="14"/>
  <c r="D7" i="14"/>
  <c r="D6" i="14"/>
  <c r="D5" i="14"/>
  <c r="D4" i="14"/>
  <c r="D4" i="25"/>
  <c r="I13" i="24"/>
  <c r="K13" i="24" s="1"/>
  <c r="L13" i="24" s="1"/>
  <c r="P13" i="24" s="1"/>
  <c r="I12" i="24"/>
  <c r="K12" i="24" s="1"/>
  <c r="L12" i="24" s="1"/>
  <c r="P12" i="24" s="1"/>
  <c r="I11" i="24"/>
  <c r="K11" i="24" s="1"/>
  <c r="L11" i="24" s="1"/>
  <c r="P11" i="24" s="1"/>
  <c r="I10" i="24"/>
  <c r="K10" i="24" s="1"/>
  <c r="L10" i="24" s="1"/>
  <c r="P10" i="24" s="1"/>
  <c r="I9" i="24"/>
  <c r="K9" i="24" s="1"/>
  <c r="L9" i="24" s="1"/>
  <c r="P9" i="24" s="1"/>
  <c r="I8" i="24"/>
  <c r="K8" i="24" s="1"/>
  <c r="L8" i="24" s="1"/>
  <c r="P8" i="24" s="1"/>
  <c r="I7" i="24"/>
  <c r="I6" i="24"/>
  <c r="K6" i="24" s="1"/>
  <c r="L6" i="24" s="1"/>
  <c r="P6" i="24" s="1"/>
  <c r="I5" i="24"/>
  <c r="K5" i="24" s="1"/>
  <c r="L5" i="24" s="1"/>
  <c r="P5" i="24" s="1"/>
  <c r="I4" i="24"/>
  <c r="D13" i="24"/>
  <c r="D12" i="24"/>
  <c r="D11" i="24"/>
  <c r="D10" i="24"/>
  <c r="D9" i="24"/>
  <c r="D8" i="24"/>
  <c r="D7" i="24"/>
  <c r="D6" i="24"/>
  <c r="D5" i="24"/>
  <c r="D4" i="24"/>
  <c r="A34" i="14"/>
  <c r="A35" i="14" s="1"/>
  <c r="I34" i="24"/>
  <c r="K34" i="24" s="1"/>
  <c r="L34" i="24" s="1"/>
  <c r="P34" i="24" s="1"/>
  <c r="I30" i="24"/>
  <c r="K30" i="24" s="1"/>
  <c r="L30" i="24" s="1"/>
  <c r="P30" i="24" s="1"/>
  <c r="I26" i="24"/>
  <c r="K26" i="24" s="1"/>
  <c r="L26" i="24" s="1"/>
  <c r="P26" i="24" s="1"/>
  <c r="I22" i="24"/>
  <c r="K22" i="24" s="1"/>
  <c r="L22" i="24" s="1"/>
  <c r="P22" i="24" s="1"/>
  <c r="I18" i="24"/>
  <c r="K18" i="24" s="1"/>
  <c r="L18" i="24" s="1"/>
  <c r="P18" i="24" s="1"/>
  <c r="I14" i="24"/>
  <c r="K14" i="24" s="1"/>
  <c r="L14" i="24" s="1"/>
  <c r="P14" i="24" s="1"/>
  <c r="A35" i="24"/>
  <c r="A34" i="24"/>
  <c r="I35" i="24"/>
  <c r="K35" i="24" s="1"/>
  <c r="L35" i="24" s="1"/>
  <c r="P35" i="24" s="1"/>
  <c r="K4" i="24"/>
  <c r="L4" i="24" s="1"/>
  <c r="P4" i="24" s="1"/>
  <c r="B5" i="24"/>
  <c r="B6" i="24" s="1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K7" i="24"/>
  <c r="L7" i="24" s="1"/>
  <c r="P7" i="24" s="1"/>
  <c r="I15" i="24"/>
  <c r="K15" i="24" s="1"/>
  <c r="L15" i="24" s="1"/>
  <c r="P15" i="24" s="1"/>
  <c r="I16" i="24"/>
  <c r="K16" i="24" s="1"/>
  <c r="L16" i="24" s="1"/>
  <c r="P16" i="24" s="1"/>
  <c r="I17" i="24"/>
  <c r="K17" i="24" s="1"/>
  <c r="L17" i="24" s="1"/>
  <c r="P17" i="24" s="1"/>
  <c r="I19" i="24"/>
  <c r="K19" i="24" s="1"/>
  <c r="L19" i="24" s="1"/>
  <c r="P19" i="24" s="1"/>
  <c r="I20" i="24"/>
  <c r="K20" i="24" s="1"/>
  <c r="L20" i="24" s="1"/>
  <c r="P20" i="24" s="1"/>
  <c r="I21" i="24"/>
  <c r="K21" i="24" s="1"/>
  <c r="L21" i="24" s="1"/>
  <c r="P21" i="24" s="1"/>
  <c r="I23" i="24"/>
  <c r="K23" i="24" s="1"/>
  <c r="L23" i="24" s="1"/>
  <c r="P23" i="24" s="1"/>
  <c r="I24" i="24"/>
  <c r="K24" i="24" s="1"/>
  <c r="L24" i="24" s="1"/>
  <c r="P24" i="24" s="1"/>
  <c r="I25" i="24"/>
  <c r="K25" i="24" s="1"/>
  <c r="L25" i="24" s="1"/>
  <c r="P25" i="24" s="1"/>
  <c r="I27" i="24"/>
  <c r="K27" i="24" s="1"/>
  <c r="L27" i="24" s="1"/>
  <c r="P27" i="24" s="1"/>
  <c r="I28" i="24"/>
  <c r="K28" i="24" s="1"/>
  <c r="L28" i="24" s="1"/>
  <c r="P28" i="24" s="1"/>
  <c r="I29" i="24"/>
  <c r="K29" i="24" s="1"/>
  <c r="L29" i="24" s="1"/>
  <c r="P29" i="24" s="1"/>
  <c r="I31" i="24"/>
  <c r="K31" i="24" s="1"/>
  <c r="L31" i="24" s="1"/>
  <c r="P31" i="24" s="1"/>
  <c r="I32" i="24"/>
  <c r="K32" i="24" s="1"/>
  <c r="L32" i="24" s="1"/>
  <c r="P32" i="24" s="1"/>
  <c r="I33" i="24"/>
  <c r="K33" i="24" s="1"/>
  <c r="L33" i="24" s="1"/>
  <c r="P33" i="24" s="1"/>
  <c r="P36" i="24" l="1"/>
  <c r="P223" i="24" s="1"/>
  <c r="G4" i="14"/>
  <c r="H4" i="14" s="1"/>
  <c r="J35" i="14"/>
  <c r="N35" i="14" s="1"/>
  <c r="R35" i="14" s="1"/>
  <c r="G35" i="14"/>
  <c r="D35" i="14"/>
  <c r="J34" i="14"/>
  <c r="N34" i="14" s="1"/>
  <c r="R34" i="14" s="1"/>
  <c r="G34" i="14"/>
  <c r="D34" i="14"/>
  <c r="A16" i="27"/>
  <c r="A17" i="27" l="1"/>
  <c r="H35" i="14"/>
  <c r="O35" i="14" s="1"/>
  <c r="P35" i="14" s="1"/>
  <c r="H34" i="14"/>
  <c r="O34" i="14" s="1"/>
  <c r="P34" i="14" s="1"/>
  <c r="K35" i="25"/>
  <c r="A18" i="27" l="1"/>
  <c r="G6" i="26"/>
  <c r="G10" i="26"/>
  <c r="G11" i="26" s="1"/>
  <c r="G19" i="26"/>
  <c r="G23" i="26"/>
  <c r="G4" i="29"/>
  <c r="G5" i="29"/>
  <c r="G6" i="29"/>
  <c r="G7" i="29"/>
  <c r="G8" i="29"/>
  <c r="G9" i="29"/>
  <c r="G10" i="29"/>
  <c r="G11" i="29"/>
  <c r="B15" i="27"/>
  <c r="B16" i="27" s="1"/>
  <c r="B17" i="27" s="1"/>
  <c r="B18" i="27" s="1"/>
  <c r="B19" i="27" s="1"/>
  <c r="B20" i="27" s="1"/>
  <c r="B21" i="27" s="1"/>
  <c r="B22" i="27" s="1"/>
  <c r="B23" i="27" s="1"/>
  <c r="B24" i="27" s="1"/>
  <c r="B25" i="27" s="1"/>
  <c r="B26" i="27" s="1"/>
  <c r="B27" i="27" s="1"/>
  <c r="B28" i="27" s="1"/>
  <c r="B29" i="27" s="1"/>
  <c r="B30" i="27" s="1"/>
  <c r="B31" i="27" s="1"/>
  <c r="B32" i="27" s="1"/>
  <c r="B33" i="27" s="1"/>
  <c r="B34" i="27" s="1"/>
  <c r="B35" i="27" s="1"/>
  <c r="B36" i="27" s="1"/>
  <c r="B37" i="27" s="1"/>
  <c r="B38" i="27" s="1"/>
  <c r="B39" i="27" s="1"/>
  <c r="B40" i="27" s="1"/>
  <c r="B41" i="27" s="1"/>
  <c r="B42" i="27" s="1"/>
  <c r="B43" i="27" s="1"/>
  <c r="B44" i="27" s="1"/>
  <c r="B45" i="27" s="1"/>
  <c r="J12" i="26" l="1"/>
  <c r="J11" i="26"/>
  <c r="J10" i="26"/>
  <c r="A19" i="27"/>
  <c r="B5" i="25"/>
  <c r="B6" i="25" s="1"/>
  <c r="B7" i="25" s="1"/>
  <c r="B8" i="25" s="1"/>
  <c r="B9" i="25" s="1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H10" i="14" s="1"/>
  <c r="G9" i="14"/>
  <c r="H9" i="14" s="1"/>
  <c r="G8" i="14"/>
  <c r="H8" i="14" s="1"/>
  <c r="G7" i="14"/>
  <c r="H7" i="14" s="1"/>
  <c r="G6" i="14"/>
  <c r="H6" i="14" s="1"/>
  <c r="G5" i="14"/>
  <c r="H5" i="14" s="1"/>
  <c r="B5" i="14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A20" i="27" l="1"/>
  <c r="K28" i="27"/>
  <c r="O28" i="27" s="1"/>
  <c r="H37" i="27"/>
  <c r="L37" i="27" s="1"/>
  <c r="K32" i="27"/>
  <c r="O32" i="27" s="1"/>
  <c r="J24" i="27"/>
  <c r="N24" i="27" s="1"/>
  <c r="I18" i="27"/>
  <c r="M18" i="27" s="1"/>
  <c r="X18" i="27" s="1"/>
  <c r="I27" i="27"/>
  <c r="M27" i="27" s="1"/>
  <c r="J38" i="27"/>
  <c r="N38" i="27" s="1"/>
  <c r="I22" i="27"/>
  <c r="M22" i="27" s="1"/>
  <c r="K21" i="27"/>
  <c r="O21" i="27" s="1"/>
  <c r="H41" i="27"/>
  <c r="L41" i="27" s="1"/>
  <c r="K30" i="27"/>
  <c r="O30" i="27" s="1"/>
  <c r="J42" i="27"/>
  <c r="N42" i="27" s="1"/>
  <c r="K36" i="27"/>
  <c r="O36" i="27" s="1"/>
  <c r="I31" i="27"/>
  <c r="M31" i="27" s="1"/>
  <c r="I33" i="27"/>
  <c r="M33" i="27" s="1"/>
  <c r="K44" i="27"/>
  <c r="O44" i="27" s="1"/>
  <c r="I28" i="27"/>
  <c r="M28" i="27" s="1"/>
  <c r="H28" i="27"/>
  <c r="L28" i="27" s="1"/>
  <c r="H43" i="27"/>
  <c r="L43" i="27" s="1"/>
  <c r="I43" i="27"/>
  <c r="M43" i="27" s="1"/>
  <c r="K43" i="27"/>
  <c r="O43" i="27" s="1"/>
  <c r="J43" i="27"/>
  <c r="N43" i="27" s="1"/>
  <c r="J22" i="27"/>
  <c r="N22" i="27" s="1"/>
  <c r="K22" i="27"/>
  <c r="O22" i="27" s="1"/>
  <c r="J37" i="27"/>
  <c r="N37" i="27" s="1"/>
  <c r="I37" i="27"/>
  <c r="M37" i="27" s="1"/>
  <c r="H17" i="27"/>
  <c r="L17" i="27" s="1"/>
  <c r="W17" i="27" s="1"/>
  <c r="H24" i="27"/>
  <c r="L24" i="27" s="1"/>
  <c r="K24" i="27"/>
  <c r="O24" i="27" s="1"/>
  <c r="J41" i="27"/>
  <c r="N41" i="27" s="1"/>
  <c r="A21" i="27" l="1"/>
  <c r="Z21" i="27" s="1"/>
  <c r="J31" i="27"/>
  <c r="N31" i="27" s="1"/>
  <c r="K29" i="27"/>
  <c r="O29" i="27" s="1"/>
  <c r="H39" i="27"/>
  <c r="L39" i="27" s="1"/>
  <c r="K35" i="27"/>
  <c r="O35" i="27" s="1"/>
  <c r="J25" i="27"/>
  <c r="N25" i="27" s="1"/>
  <c r="I42" i="27"/>
  <c r="M42" i="27" s="1"/>
  <c r="J18" i="27"/>
  <c r="N18" i="27" s="1"/>
  <c r="Y18" i="27" s="1"/>
  <c r="K31" i="27"/>
  <c r="O31" i="27" s="1"/>
  <c r="J20" i="27"/>
  <c r="N20" i="27" s="1"/>
  <c r="Y20" i="27" s="1"/>
  <c r="K42" i="27"/>
  <c r="O42" i="27" s="1"/>
  <c r="K27" i="27"/>
  <c r="O27" i="27" s="1"/>
  <c r="M21" i="27"/>
  <c r="X21" i="27" s="1"/>
  <c r="H15" i="27"/>
  <c r="L15" i="27" s="1"/>
  <c r="W15" i="27" s="1"/>
  <c r="I38" i="27"/>
  <c r="M38" i="27" s="1"/>
  <c r="I41" i="27"/>
  <c r="M41" i="27" s="1"/>
  <c r="H19" i="27"/>
  <c r="L19" i="27" s="1"/>
  <c r="W19" i="27" s="1"/>
  <c r="J27" i="27"/>
  <c r="N27" i="27" s="1"/>
  <c r="J21" i="27"/>
  <c r="N21" i="27" s="1"/>
  <c r="Y21" i="27" s="1"/>
  <c r="H34" i="27"/>
  <c r="L34" i="27" s="1"/>
  <c r="K26" i="27"/>
  <c r="O26" i="27" s="1"/>
  <c r="H23" i="27"/>
  <c r="L23" i="27" s="1"/>
  <c r="J16" i="27"/>
  <c r="N16" i="27" s="1"/>
  <c r="Y16" i="27" s="1"/>
  <c r="I30" i="27"/>
  <c r="M30" i="27" s="1"/>
  <c r="J14" i="27"/>
  <c r="N14" i="27" s="1"/>
  <c r="Y14" i="27" s="1"/>
  <c r="I32" i="27"/>
  <c r="M32" i="27" s="1"/>
  <c r="J40" i="27"/>
  <c r="N40" i="27" s="1"/>
  <c r="H30" i="27"/>
  <c r="L30" i="27" s="1"/>
  <c r="H32" i="27"/>
  <c r="L32" i="27" s="1"/>
  <c r="H45" i="27"/>
  <c r="L45" i="27" s="1"/>
  <c r="J35" i="27"/>
  <c r="N35" i="27" s="1"/>
  <c r="K16" i="27"/>
  <c r="O16" i="27" s="1"/>
  <c r="Z16" i="27" s="1"/>
  <c r="K25" i="27"/>
  <c r="O25" i="27" s="1"/>
  <c r="J39" i="27"/>
  <c r="N39" i="27" s="1"/>
  <c r="H26" i="27"/>
  <c r="L26" i="27" s="1"/>
  <c r="H40" i="27"/>
  <c r="L40" i="27" s="1"/>
  <c r="H35" i="27"/>
  <c r="L35" i="27" s="1"/>
  <c r="H16" i="27"/>
  <c r="L16" i="27" s="1"/>
  <c r="W16" i="27" s="1"/>
  <c r="J17" i="27"/>
  <c r="N17" i="27" s="1"/>
  <c r="Y17" i="27" s="1"/>
  <c r="H14" i="27"/>
  <c r="L14" i="27" s="1"/>
  <c r="W14" i="27" s="1"/>
  <c r="I23" i="27"/>
  <c r="M23" i="27" s="1"/>
  <c r="J34" i="27"/>
  <c r="N34" i="27" s="1"/>
  <c r="I40" i="27"/>
  <c r="M40" i="27" s="1"/>
  <c r="I19" i="27"/>
  <c r="M19" i="27" s="1"/>
  <c r="X19" i="27" s="1"/>
  <c r="I17" i="27"/>
  <c r="M17" i="27" s="1"/>
  <c r="X17" i="27" s="1"/>
  <c r="K14" i="27"/>
  <c r="O14" i="27" s="1"/>
  <c r="Z14" i="27" s="1"/>
  <c r="K23" i="27"/>
  <c r="O23" i="27" s="1"/>
  <c r="J29" i="27"/>
  <c r="N29" i="27" s="1"/>
  <c r="K20" i="27"/>
  <c r="O20" i="27" s="1"/>
  <c r="Z20" i="27" s="1"/>
  <c r="I15" i="27"/>
  <c r="M15" i="27" s="1"/>
  <c r="X15" i="27" s="1"/>
  <c r="I34" i="27"/>
  <c r="M34" i="27" s="1"/>
  <c r="I45" i="27"/>
  <c r="M45" i="27" s="1"/>
  <c r="J19" i="27"/>
  <c r="N19" i="27" s="1"/>
  <c r="Y19" i="27" s="1"/>
  <c r="H25" i="27"/>
  <c r="L25" i="27" s="1"/>
  <c r="H29" i="27"/>
  <c r="L29" i="27" s="1"/>
  <c r="H20" i="27"/>
  <c r="L20" i="27" s="1"/>
  <c r="W20" i="27" s="1"/>
  <c r="J15" i="27"/>
  <c r="N15" i="27" s="1"/>
  <c r="Y15" i="27" s="1"/>
  <c r="K39" i="27"/>
  <c r="O39" i="27" s="1"/>
  <c r="I26" i="27"/>
  <c r="M26" i="27" s="1"/>
  <c r="K45" i="27"/>
  <c r="O45" i="27" s="1"/>
  <c r="I35" i="27"/>
  <c r="M35" i="27" s="1"/>
  <c r="I16" i="27"/>
  <c r="M16" i="27" s="1"/>
  <c r="X16" i="27" s="1"/>
  <c r="K19" i="27"/>
  <c r="O19" i="27" s="1"/>
  <c r="Z19" i="27" s="1"/>
  <c r="I25" i="27"/>
  <c r="M25" i="27" s="1"/>
  <c r="K17" i="27"/>
  <c r="O17" i="27" s="1"/>
  <c r="Z17" i="27" s="1"/>
  <c r="I14" i="27"/>
  <c r="M14" i="27" s="1"/>
  <c r="X14" i="27" s="1"/>
  <c r="J23" i="27"/>
  <c r="N23" i="27" s="1"/>
  <c r="I29" i="27"/>
  <c r="M29" i="27" s="1"/>
  <c r="I20" i="27"/>
  <c r="M20" i="27" s="1"/>
  <c r="X20" i="27" s="1"/>
  <c r="K15" i="27"/>
  <c r="O15" i="27" s="1"/>
  <c r="Z15" i="27" s="1"/>
  <c r="K34" i="27"/>
  <c r="O34" i="27" s="1"/>
  <c r="I39" i="27"/>
  <c r="M39" i="27" s="1"/>
  <c r="K38" i="27"/>
  <c r="O38" i="27" s="1"/>
  <c r="J26" i="27"/>
  <c r="N26" i="27" s="1"/>
  <c r="K40" i="27"/>
  <c r="O40" i="27" s="1"/>
  <c r="J45" i="27"/>
  <c r="N45" i="27" s="1"/>
  <c r="H36" i="27"/>
  <c r="L36" i="27" s="1"/>
  <c r="J33" i="27"/>
  <c r="N33" i="27" s="1"/>
  <c r="H44" i="27"/>
  <c r="L44" i="27" s="1"/>
  <c r="I36" i="27"/>
  <c r="M36" i="27" s="1"/>
  <c r="K33" i="27"/>
  <c r="O33" i="27" s="1"/>
  <c r="K18" i="27"/>
  <c r="O18" i="27" s="1"/>
  <c r="Z18" i="27" s="1"/>
  <c r="J44" i="27"/>
  <c r="N44" i="27" s="1"/>
  <c r="I24" i="27"/>
  <c r="M24" i="27" s="1"/>
  <c r="H31" i="27"/>
  <c r="L31" i="27" s="1"/>
  <c r="H33" i="27"/>
  <c r="L33" i="27" s="1"/>
  <c r="H42" i="27"/>
  <c r="L42" i="27" s="1"/>
  <c r="H18" i="27"/>
  <c r="L18" i="27" s="1"/>
  <c r="W18" i="27" s="1"/>
  <c r="J28" i="27"/>
  <c r="N28" i="27" s="1"/>
  <c r="J32" i="27"/>
  <c r="N32" i="27" s="1"/>
  <c r="H38" i="27"/>
  <c r="L38" i="27" s="1"/>
  <c r="I44" i="27"/>
  <c r="M44" i="27" s="1"/>
  <c r="K41" i="27"/>
  <c r="O41" i="27" s="1"/>
  <c r="J30" i="27"/>
  <c r="N30" i="27" s="1"/>
  <c r="H27" i="27"/>
  <c r="L27" i="27" s="1"/>
  <c r="K37" i="27"/>
  <c r="O37" i="27" s="1"/>
  <c r="H22" i="27"/>
  <c r="L22" i="27" s="1"/>
  <c r="J36" i="27"/>
  <c r="N36" i="27" s="1"/>
  <c r="L21" i="27"/>
  <c r="W21" i="27" s="1"/>
  <c r="Q43" i="27"/>
  <c r="Q28" i="27" l="1"/>
  <c r="Q37" i="27"/>
  <c r="W22" i="27"/>
  <c r="Q41" i="27"/>
  <c r="A22" i="27"/>
  <c r="Q35" i="27"/>
  <c r="Q31" i="27"/>
  <c r="Q19" i="27"/>
  <c r="Q27" i="27"/>
  <c r="Q18" i="27"/>
  <c r="Q39" i="27"/>
  <c r="Q29" i="27"/>
  <c r="Q40" i="27"/>
  <c r="Q26" i="27"/>
  <c r="Q22" i="27"/>
  <c r="Q45" i="27"/>
  <c r="Q24" i="27"/>
  <c r="Q21" i="27"/>
  <c r="R21" i="27" s="1"/>
  <c r="Q42" i="27"/>
  <c r="Q20" i="27"/>
  <c r="Q23" i="27"/>
  <c r="Q30" i="27"/>
  <c r="Q38" i="27"/>
  <c r="Q17" i="27"/>
  <c r="Q32" i="27"/>
  <c r="Q14" i="27"/>
  <c r="Q25" i="27"/>
  <c r="Q15" i="27"/>
  <c r="Q34" i="27"/>
  <c r="Q16" i="27"/>
  <c r="Q44" i="27"/>
  <c r="Q36" i="27"/>
  <c r="Q33" i="27"/>
  <c r="Z22" i="27" l="1"/>
  <c r="X22" i="27"/>
  <c r="Y22" i="27"/>
  <c r="R16" i="27"/>
  <c r="R18" i="27"/>
  <c r="R22" i="27"/>
  <c r="R14" i="27"/>
  <c r="R15" i="27"/>
  <c r="R17" i="27"/>
  <c r="R20" i="27"/>
  <c r="R19" i="27"/>
  <c r="A23" i="27"/>
  <c r="D34" i="19"/>
  <c r="Y23" i="27" l="1"/>
  <c r="W23" i="27"/>
  <c r="X23" i="27"/>
  <c r="Z23" i="27"/>
  <c r="A24" i="27"/>
  <c r="R23" i="27"/>
  <c r="F4" i="25"/>
  <c r="N11" i="14"/>
  <c r="R11" i="14" s="1"/>
  <c r="N12" i="14"/>
  <c r="R12" i="14" s="1"/>
  <c r="N13" i="14"/>
  <c r="R13" i="14" s="1"/>
  <c r="J14" i="14"/>
  <c r="N14" i="14" s="1"/>
  <c r="R14" i="14" s="1"/>
  <c r="J15" i="14"/>
  <c r="N15" i="14" s="1"/>
  <c r="R15" i="14" s="1"/>
  <c r="J16" i="14"/>
  <c r="N16" i="14" s="1"/>
  <c r="R16" i="14" s="1"/>
  <c r="J17" i="14"/>
  <c r="N17" i="14" s="1"/>
  <c r="R17" i="14" s="1"/>
  <c r="J18" i="14"/>
  <c r="N18" i="14" s="1"/>
  <c r="R18" i="14" s="1"/>
  <c r="J19" i="14"/>
  <c r="N19" i="14" s="1"/>
  <c r="R19" i="14" s="1"/>
  <c r="J20" i="14"/>
  <c r="N20" i="14" s="1"/>
  <c r="R20" i="14" s="1"/>
  <c r="J21" i="14"/>
  <c r="N21" i="14" s="1"/>
  <c r="R21" i="14" s="1"/>
  <c r="J22" i="14"/>
  <c r="N22" i="14" s="1"/>
  <c r="R22" i="14" s="1"/>
  <c r="J23" i="14"/>
  <c r="N23" i="14" s="1"/>
  <c r="R23" i="14" s="1"/>
  <c r="J24" i="14"/>
  <c r="N24" i="14" s="1"/>
  <c r="R24" i="14" s="1"/>
  <c r="J25" i="14"/>
  <c r="N25" i="14" s="1"/>
  <c r="R25" i="14" s="1"/>
  <c r="J26" i="14"/>
  <c r="N26" i="14" s="1"/>
  <c r="R26" i="14" s="1"/>
  <c r="J27" i="14"/>
  <c r="N27" i="14" s="1"/>
  <c r="R27" i="14" s="1"/>
  <c r="J28" i="14"/>
  <c r="N28" i="14" s="1"/>
  <c r="R28" i="14" s="1"/>
  <c r="J29" i="14"/>
  <c r="N29" i="14" s="1"/>
  <c r="R29" i="14" s="1"/>
  <c r="J30" i="14"/>
  <c r="N30" i="14" s="1"/>
  <c r="R30" i="14" s="1"/>
  <c r="J31" i="14"/>
  <c r="N31" i="14" s="1"/>
  <c r="R31" i="14" s="1"/>
  <c r="J32" i="14"/>
  <c r="N32" i="14" s="1"/>
  <c r="R32" i="14" s="1"/>
  <c r="J33" i="14"/>
  <c r="N33" i="14" s="1"/>
  <c r="R33" i="14" s="1"/>
  <c r="E34" i="19"/>
  <c r="R36" i="14" l="1"/>
  <c r="R227" i="14" s="1"/>
  <c r="Y24" i="27"/>
  <c r="Z24" i="27"/>
  <c r="W24" i="27"/>
  <c r="X24" i="27"/>
  <c r="A25" i="27"/>
  <c r="R24" i="27"/>
  <c r="H4" i="25"/>
  <c r="N4" i="25" s="1"/>
  <c r="I4" i="25"/>
  <c r="O4" i="25" s="1"/>
  <c r="G4" i="25"/>
  <c r="M4" i="25" s="1"/>
  <c r="E35" i="19"/>
  <c r="W25" i="27" l="1"/>
  <c r="X25" i="27"/>
  <c r="Y25" i="27"/>
  <c r="Z25" i="27"/>
  <c r="B21" i="18"/>
  <c r="O87" i="19"/>
  <c r="A26" i="27"/>
  <c r="R25" i="27"/>
  <c r="J4" i="25"/>
  <c r="K4" i="25" s="1"/>
  <c r="X26" i="27" l="1"/>
  <c r="Z26" i="27"/>
  <c r="W26" i="27"/>
  <c r="Y26" i="27"/>
  <c r="B5" i="18"/>
  <c r="B11" i="18" s="1"/>
  <c r="A27" i="27"/>
  <c r="R26" i="27"/>
  <c r="B27" i="18"/>
  <c r="D19" i="14"/>
  <c r="H19" i="14" s="1"/>
  <c r="D30" i="14"/>
  <c r="H30" i="14" s="1"/>
  <c r="D27" i="14"/>
  <c r="H27" i="14" s="1"/>
  <c r="H11" i="14"/>
  <c r="D32" i="14"/>
  <c r="H32" i="14" s="1"/>
  <c r="D29" i="14"/>
  <c r="H29" i="14" s="1"/>
  <c r="D33" i="14"/>
  <c r="H33" i="14" s="1"/>
  <c r="D16" i="14"/>
  <c r="H16" i="14" s="1"/>
  <c r="D28" i="14"/>
  <c r="H28" i="14" s="1"/>
  <c r="H13" i="14"/>
  <c r="D24" i="14"/>
  <c r="H24" i="14" s="1"/>
  <c r="H12" i="14"/>
  <c r="D20" i="14"/>
  <c r="H20" i="14" s="1"/>
  <c r="D31" i="14"/>
  <c r="H31" i="14" s="1"/>
  <c r="D23" i="14"/>
  <c r="H23" i="14" s="1"/>
  <c r="D22" i="14"/>
  <c r="H22" i="14" s="1"/>
  <c r="D25" i="14"/>
  <c r="H25" i="14" s="1"/>
  <c r="D14" i="14"/>
  <c r="H14" i="14" s="1"/>
  <c r="O14" i="14" s="1"/>
  <c r="P14" i="14" s="1"/>
  <c r="D15" i="14"/>
  <c r="H15" i="14" s="1"/>
  <c r="D18" i="14"/>
  <c r="H18" i="14" s="1"/>
  <c r="O18" i="14" s="1"/>
  <c r="P18" i="14" s="1"/>
  <c r="D17" i="14"/>
  <c r="H17" i="14" s="1"/>
  <c r="D26" i="14"/>
  <c r="H26" i="14" s="1"/>
  <c r="D21" i="14"/>
  <c r="H21" i="14" s="1"/>
  <c r="X27" i="27" l="1"/>
  <c r="Z27" i="27"/>
  <c r="Y27" i="27"/>
  <c r="W27" i="27"/>
  <c r="A28" i="27"/>
  <c r="R27" i="27"/>
  <c r="O31" i="14"/>
  <c r="P31" i="14" s="1"/>
  <c r="O10" i="14"/>
  <c r="P10" i="14" s="1"/>
  <c r="O11" i="14"/>
  <c r="P11" i="14" s="1"/>
  <c r="O6" i="14"/>
  <c r="P6" i="14" s="1"/>
  <c r="O12" i="14"/>
  <c r="P12" i="14" s="1"/>
  <c r="O21" i="14"/>
  <c r="P21" i="14" s="1"/>
  <c r="O22" i="14"/>
  <c r="P22" i="14" s="1"/>
  <c r="O20" i="14"/>
  <c r="P20" i="14" s="1"/>
  <c r="O24" i="14"/>
  <c r="P24" i="14" s="1"/>
  <c r="O16" i="14"/>
  <c r="P16" i="14" s="1"/>
  <c r="O29" i="14"/>
  <c r="P29" i="14" s="1"/>
  <c r="O27" i="14"/>
  <c r="P27" i="14" s="1"/>
  <c r="O19" i="14"/>
  <c r="P19" i="14" s="1"/>
  <c r="O25" i="14"/>
  <c r="P25" i="14" s="1"/>
  <c r="O7" i="14"/>
  <c r="P7" i="14" s="1"/>
  <c r="O26" i="14"/>
  <c r="P26" i="14" s="1"/>
  <c r="O5" i="14"/>
  <c r="P5" i="14" s="1"/>
  <c r="O9" i="14"/>
  <c r="P9" i="14" s="1"/>
  <c r="O13" i="14"/>
  <c r="P13" i="14" s="1"/>
  <c r="O4" i="14"/>
  <c r="P4" i="14" s="1"/>
  <c r="O30" i="14"/>
  <c r="P30" i="14" s="1"/>
  <c r="O17" i="14"/>
  <c r="P17" i="14" s="1"/>
  <c r="O15" i="14"/>
  <c r="P15" i="14" s="1"/>
  <c r="O8" i="14"/>
  <c r="P8" i="14" s="1"/>
  <c r="O23" i="14"/>
  <c r="P23" i="14" s="1"/>
  <c r="O28" i="14"/>
  <c r="P28" i="14" s="1"/>
  <c r="O33" i="14"/>
  <c r="P33" i="14" s="1"/>
  <c r="O32" i="14"/>
  <c r="P32" i="14" s="1"/>
  <c r="D35" i="24"/>
  <c r="F35" i="24" s="1"/>
  <c r="D34" i="24"/>
  <c r="F34" i="24" s="1"/>
  <c r="D20" i="24"/>
  <c r="F20" i="24" s="1"/>
  <c r="D33" i="24"/>
  <c r="F33" i="24" s="1"/>
  <c r="D17" i="24"/>
  <c r="F17" i="24" s="1"/>
  <c r="D16" i="24"/>
  <c r="F16" i="24" s="1"/>
  <c r="D14" i="24"/>
  <c r="F14" i="24" s="1"/>
  <c r="F5" i="24"/>
  <c r="G5" i="24" s="1"/>
  <c r="F10" i="24"/>
  <c r="G10" i="24" s="1"/>
  <c r="D30" i="24"/>
  <c r="F30" i="24" s="1"/>
  <c r="D24" i="24"/>
  <c r="F24" i="24" s="1"/>
  <c r="G24" i="24" s="1"/>
  <c r="M24" i="24" s="1"/>
  <c r="N24" i="24" s="1"/>
  <c r="F9" i="24"/>
  <c r="G9" i="24" s="1"/>
  <c r="D21" i="24"/>
  <c r="F21" i="24" s="1"/>
  <c r="D27" i="24"/>
  <c r="F27" i="24" s="1"/>
  <c r="F8" i="24"/>
  <c r="G8" i="24" s="1"/>
  <c r="D32" i="24"/>
  <c r="F32" i="24" s="1"/>
  <c r="D18" i="24"/>
  <c r="F18" i="24" s="1"/>
  <c r="G18" i="24" s="1"/>
  <c r="M18" i="24" s="1"/>
  <c r="N18" i="24" s="1"/>
  <c r="F6" i="24"/>
  <c r="G6" i="24" s="1"/>
  <c r="D29" i="24"/>
  <c r="F29" i="24"/>
  <c r="D31" i="24"/>
  <c r="F31" i="24" s="1"/>
  <c r="F4" i="24"/>
  <c r="G4" i="24" s="1"/>
  <c r="D28" i="24"/>
  <c r="F28" i="24" s="1"/>
  <c r="D25" i="24"/>
  <c r="F25" i="24" s="1"/>
  <c r="D22" i="24"/>
  <c r="F22" i="24" s="1"/>
  <c r="D15" i="24"/>
  <c r="F15" i="24" s="1"/>
  <c r="F13" i="24"/>
  <c r="D19" i="24"/>
  <c r="F19" i="24" s="1"/>
  <c r="F12" i="24"/>
  <c r="D23" i="24"/>
  <c r="F23" i="24"/>
  <c r="F7" i="24"/>
  <c r="G7" i="24" s="1"/>
  <c r="D26" i="24"/>
  <c r="F26" i="24" s="1"/>
  <c r="F11" i="24"/>
  <c r="Z28" i="27" l="1"/>
  <c r="W28" i="27"/>
  <c r="X28" i="27"/>
  <c r="Y28" i="27"/>
  <c r="A29" i="27"/>
  <c r="R28" i="27"/>
  <c r="G15" i="24"/>
  <c r="M15" i="24" s="1"/>
  <c r="N15" i="24" s="1"/>
  <c r="G30" i="24"/>
  <c r="M30" i="24" s="1"/>
  <c r="N30" i="24" s="1"/>
  <c r="G34" i="24"/>
  <c r="M34" i="24" s="1"/>
  <c r="N34" i="24" s="1"/>
  <c r="G27" i="24"/>
  <c r="M27" i="24" s="1"/>
  <c r="N27" i="24" s="1"/>
  <c r="G14" i="24"/>
  <c r="M14" i="24" s="1"/>
  <c r="N14" i="24" s="1"/>
  <c r="G22" i="24"/>
  <c r="M22" i="24" s="1"/>
  <c r="N22" i="24" s="1"/>
  <c r="G21" i="24"/>
  <c r="M21" i="24" s="1"/>
  <c r="N21" i="24" s="1"/>
  <c r="G25" i="24"/>
  <c r="M25" i="24" s="1"/>
  <c r="N25" i="24" s="1"/>
  <c r="G29" i="24"/>
  <c r="M29" i="24" s="1"/>
  <c r="N29" i="24" s="1"/>
  <c r="G32" i="24"/>
  <c r="M32" i="24" s="1"/>
  <c r="N32" i="24" s="1"/>
  <c r="G17" i="24"/>
  <c r="M17" i="24" s="1"/>
  <c r="N17" i="24" s="1"/>
  <c r="G35" i="24"/>
  <c r="M35" i="24" s="1"/>
  <c r="N35" i="24" s="1"/>
  <c r="G19" i="24"/>
  <c r="M19" i="24" s="1"/>
  <c r="N19" i="24" s="1"/>
  <c r="G20" i="24"/>
  <c r="M20" i="24" s="1"/>
  <c r="N20" i="24" s="1"/>
  <c r="G23" i="24"/>
  <c r="M23" i="24" s="1"/>
  <c r="N23" i="24" s="1"/>
  <c r="G31" i="24"/>
  <c r="M31" i="24" s="1"/>
  <c r="N31" i="24" s="1"/>
  <c r="G16" i="24"/>
  <c r="M16" i="24" s="1"/>
  <c r="N16" i="24" s="1"/>
  <c r="G26" i="24"/>
  <c r="M26" i="24" s="1"/>
  <c r="N26" i="24" s="1"/>
  <c r="G28" i="24"/>
  <c r="M28" i="24" s="1"/>
  <c r="N28" i="24" s="1"/>
  <c r="G33" i="24"/>
  <c r="M33" i="24" s="1"/>
  <c r="N33" i="24" s="1"/>
  <c r="M7" i="24"/>
  <c r="N7" i="24" s="1"/>
  <c r="M6" i="24"/>
  <c r="N6" i="24" s="1"/>
  <c r="G13" i="24"/>
  <c r="M13" i="24" s="1"/>
  <c r="N13" i="24" s="1"/>
  <c r="M9" i="24"/>
  <c r="N9" i="24" s="1"/>
  <c r="M10" i="24"/>
  <c r="N10" i="24" s="1"/>
  <c r="G12" i="24"/>
  <c r="M12" i="24" s="1"/>
  <c r="N12" i="24" s="1"/>
  <c r="M8" i="24"/>
  <c r="N8" i="24" s="1"/>
  <c r="M5" i="24"/>
  <c r="N5" i="24" s="1"/>
  <c r="M4" i="24"/>
  <c r="N4" i="24" s="1"/>
  <c r="P36" i="14"/>
  <c r="G11" i="24"/>
  <c r="M11" i="24" s="1"/>
  <c r="N11" i="24" s="1"/>
  <c r="Y29" i="27" l="1"/>
  <c r="Z29" i="27"/>
  <c r="W29" i="27"/>
  <c r="X29" i="27"/>
  <c r="C23" i="18"/>
  <c r="C7" i="18" s="1"/>
  <c r="P227" i="14"/>
  <c r="A30" i="27"/>
  <c r="R29" i="27"/>
  <c r="N36" i="24"/>
  <c r="D5" i="25"/>
  <c r="F5" i="25"/>
  <c r="D8" i="25"/>
  <c r="F8" i="25" s="1"/>
  <c r="D7" i="25"/>
  <c r="F7" i="25" s="1"/>
  <c r="D10" i="25"/>
  <c r="F10" i="25" s="1"/>
  <c r="D19" i="25"/>
  <c r="F19" i="25" s="1"/>
  <c r="D17" i="25"/>
  <c r="F17" i="25" s="1"/>
  <c r="D18" i="25"/>
  <c r="F18" i="25" s="1"/>
  <c r="D13" i="25"/>
  <c r="F13" i="25" s="1"/>
  <c r="D28" i="25"/>
  <c r="F28" i="25" s="1"/>
  <c r="D25" i="25"/>
  <c r="F25" i="25" s="1"/>
  <c r="D16" i="25"/>
  <c r="F16" i="25" s="1"/>
  <c r="D23" i="25"/>
  <c r="F23" i="25"/>
  <c r="D31" i="25"/>
  <c r="F31" i="25" s="1"/>
  <c r="D26" i="25"/>
  <c r="F26" i="25" s="1"/>
  <c r="D15" i="25"/>
  <c r="F15" i="25"/>
  <c r="D14" i="25"/>
  <c r="F14" i="25" s="1"/>
  <c r="D29" i="25"/>
  <c r="F29" i="25"/>
  <c r="D12" i="25"/>
  <c r="F12" i="25" s="1"/>
  <c r="D9" i="25"/>
  <c r="F9" i="25" s="1"/>
  <c r="D22" i="25"/>
  <c r="F22" i="25" s="1"/>
  <c r="D21" i="25"/>
  <c r="F21" i="25" s="1"/>
  <c r="D30" i="25"/>
  <c r="F30" i="25"/>
  <c r="D27" i="25"/>
  <c r="F27" i="25" s="1"/>
  <c r="D6" i="25"/>
  <c r="F6" i="25" s="1"/>
  <c r="D20" i="25"/>
  <c r="F20" i="25" s="1"/>
  <c r="D33" i="25"/>
  <c r="F33" i="25"/>
  <c r="D24" i="25"/>
  <c r="F24" i="25" s="1"/>
  <c r="D32" i="25"/>
  <c r="F32" i="25" s="1"/>
  <c r="D11" i="25"/>
  <c r="F11" i="25" s="1"/>
  <c r="C26" i="18" l="1"/>
  <c r="C10" i="18" s="1"/>
  <c r="N223" i="24"/>
  <c r="Z30" i="27"/>
  <c r="Y30" i="27"/>
  <c r="X30" i="27"/>
  <c r="W30" i="27"/>
  <c r="A31" i="27"/>
  <c r="R30" i="27"/>
  <c r="H12" i="25"/>
  <c r="N12" i="25" s="1"/>
  <c r="I12" i="25"/>
  <c r="O12" i="25" s="1"/>
  <c r="G12" i="25"/>
  <c r="M12" i="25" s="1"/>
  <c r="I19" i="25"/>
  <c r="H19" i="25"/>
  <c r="N19" i="25" s="1"/>
  <c r="G19" i="25"/>
  <c r="M19" i="25" s="1"/>
  <c r="H26" i="25"/>
  <c r="N26" i="25" s="1"/>
  <c r="G26" i="25"/>
  <c r="I26" i="25"/>
  <c r="O26" i="25" s="1"/>
  <c r="H14" i="25"/>
  <c r="N14" i="25" s="1"/>
  <c r="G14" i="25"/>
  <c r="M14" i="25" s="1"/>
  <c r="I14" i="25"/>
  <c r="H24" i="25"/>
  <c r="N24" i="25" s="1"/>
  <c r="I24" i="25"/>
  <c r="O24" i="25" s="1"/>
  <c r="G24" i="25"/>
  <c r="H16" i="25"/>
  <c r="N16" i="25" s="1"/>
  <c r="I16" i="25"/>
  <c r="O16" i="25" s="1"/>
  <c r="G16" i="25"/>
  <c r="M16" i="25" s="1"/>
  <c r="I27" i="25"/>
  <c r="O27" i="25" s="1"/>
  <c r="G27" i="25"/>
  <c r="H27" i="25"/>
  <c r="N27" i="25" s="1"/>
  <c r="I15" i="25"/>
  <c r="O15" i="25" s="1"/>
  <c r="G15" i="25"/>
  <c r="M15" i="25" s="1"/>
  <c r="H15" i="25"/>
  <c r="N15" i="25" s="1"/>
  <c r="H18" i="25"/>
  <c r="N18" i="25" s="1"/>
  <c r="G18" i="25"/>
  <c r="M18" i="25" s="1"/>
  <c r="I18" i="25"/>
  <c r="O18" i="25" s="1"/>
  <c r="H30" i="25"/>
  <c r="I30" i="25"/>
  <c r="O30" i="25" s="1"/>
  <c r="G30" i="25"/>
  <c r="M30" i="25" s="1"/>
  <c r="G21" i="25"/>
  <c r="M21" i="25" s="1"/>
  <c r="I21" i="25"/>
  <c r="O21" i="25" s="1"/>
  <c r="H21" i="25"/>
  <c r="N21" i="25" s="1"/>
  <c r="G13" i="25"/>
  <c r="M13" i="25" s="1"/>
  <c r="H13" i="25"/>
  <c r="N13" i="25" s="1"/>
  <c r="I13" i="25"/>
  <c r="O13" i="25" s="1"/>
  <c r="G33" i="25"/>
  <c r="M33" i="25" s="1"/>
  <c r="H33" i="25"/>
  <c r="N33" i="25" s="1"/>
  <c r="I33" i="25"/>
  <c r="O33" i="25" s="1"/>
  <c r="H22" i="25"/>
  <c r="N22" i="25" s="1"/>
  <c r="G22" i="25"/>
  <c r="M22" i="25" s="1"/>
  <c r="I22" i="25"/>
  <c r="O22" i="25" s="1"/>
  <c r="G29" i="25"/>
  <c r="M29" i="25" s="1"/>
  <c r="I29" i="25"/>
  <c r="H29" i="25"/>
  <c r="N29" i="25" s="1"/>
  <c r="I31" i="25"/>
  <c r="O31" i="25" s="1"/>
  <c r="G31" i="25"/>
  <c r="M31" i="25" s="1"/>
  <c r="H31" i="25"/>
  <c r="N31" i="25" s="1"/>
  <c r="G25" i="25"/>
  <c r="M25" i="25" s="1"/>
  <c r="H25" i="25"/>
  <c r="N25" i="25" s="1"/>
  <c r="I25" i="25"/>
  <c r="O25" i="25" s="1"/>
  <c r="I23" i="25"/>
  <c r="G23" i="25"/>
  <c r="M23" i="25" s="1"/>
  <c r="H23" i="25"/>
  <c r="N23" i="25" s="1"/>
  <c r="G17" i="25"/>
  <c r="M17" i="25" s="1"/>
  <c r="I17" i="25"/>
  <c r="O17" i="25" s="1"/>
  <c r="H17" i="25"/>
  <c r="N17" i="25" s="1"/>
  <c r="H32" i="25"/>
  <c r="N32" i="25" s="1"/>
  <c r="I32" i="25"/>
  <c r="O32" i="25" s="1"/>
  <c r="G32" i="25"/>
  <c r="H20" i="25"/>
  <c r="N20" i="25" s="1"/>
  <c r="I20" i="25"/>
  <c r="O20" i="25" s="1"/>
  <c r="G20" i="25"/>
  <c r="M20" i="25" s="1"/>
  <c r="H28" i="25"/>
  <c r="N28" i="25" s="1"/>
  <c r="I28" i="25"/>
  <c r="O28" i="25" s="1"/>
  <c r="G28" i="25"/>
  <c r="M28" i="25" s="1"/>
  <c r="H6" i="25"/>
  <c r="N6" i="25" s="1"/>
  <c r="I6" i="25"/>
  <c r="O6" i="25" s="1"/>
  <c r="G6" i="25"/>
  <c r="M6" i="25" s="1"/>
  <c r="G9" i="25"/>
  <c r="M9" i="25" s="1"/>
  <c r="H9" i="25"/>
  <c r="N9" i="25" s="1"/>
  <c r="I9" i="25"/>
  <c r="O9" i="25" s="1"/>
  <c r="G11" i="25"/>
  <c r="M11" i="25" s="1"/>
  <c r="H11" i="25"/>
  <c r="N11" i="25" s="1"/>
  <c r="I11" i="25"/>
  <c r="O11" i="25" s="1"/>
  <c r="H10" i="25"/>
  <c r="N10" i="25" s="1"/>
  <c r="I10" i="25"/>
  <c r="O10" i="25" s="1"/>
  <c r="G10" i="25"/>
  <c r="M10" i="25" s="1"/>
  <c r="G5" i="25"/>
  <c r="M5" i="25" s="1"/>
  <c r="H5" i="25"/>
  <c r="N5" i="25" s="1"/>
  <c r="I5" i="25"/>
  <c r="O5" i="25" s="1"/>
  <c r="I7" i="25"/>
  <c r="O7" i="25" s="1"/>
  <c r="H7" i="25"/>
  <c r="N7" i="25" s="1"/>
  <c r="G7" i="25"/>
  <c r="M7" i="25" s="1"/>
  <c r="G8" i="25"/>
  <c r="M8" i="25" s="1"/>
  <c r="H8" i="25"/>
  <c r="N8" i="25" s="1"/>
  <c r="I8" i="25"/>
  <c r="O8" i="25" s="1"/>
  <c r="J12" i="25"/>
  <c r="K12" i="25" s="1"/>
  <c r="K34" i="25"/>
  <c r="J19" i="25" l="1"/>
  <c r="K19" i="25" s="1"/>
  <c r="O19" i="25"/>
  <c r="J24" i="25"/>
  <c r="K24" i="25" s="1"/>
  <c r="M24" i="25"/>
  <c r="J30" i="25"/>
  <c r="K30" i="25" s="1"/>
  <c r="N30" i="25"/>
  <c r="N36" i="25" s="1"/>
  <c r="N223" i="25" s="1"/>
  <c r="J14" i="25"/>
  <c r="K14" i="25" s="1"/>
  <c r="O14" i="25"/>
  <c r="J29" i="25"/>
  <c r="K29" i="25" s="1"/>
  <c r="O29" i="25"/>
  <c r="O36" i="25" s="1"/>
  <c r="O223" i="25" s="1"/>
  <c r="J27" i="25"/>
  <c r="K27" i="25" s="1"/>
  <c r="M27" i="25"/>
  <c r="J26" i="25"/>
  <c r="K26" i="25" s="1"/>
  <c r="M26" i="25"/>
  <c r="J32" i="25"/>
  <c r="K32" i="25" s="1"/>
  <c r="M32" i="25"/>
  <c r="M36" i="25"/>
  <c r="M223" i="25" s="1"/>
  <c r="J23" i="25"/>
  <c r="K23" i="25" s="1"/>
  <c r="O23" i="25"/>
  <c r="X31" i="27"/>
  <c r="W31" i="27"/>
  <c r="Z31" i="27"/>
  <c r="Y31" i="27"/>
  <c r="J25" i="25"/>
  <c r="K25" i="25" s="1"/>
  <c r="A32" i="27"/>
  <c r="R31" i="27"/>
  <c r="J17" i="25"/>
  <c r="K17" i="25" s="1"/>
  <c r="J28" i="25"/>
  <c r="K28" i="25" s="1"/>
  <c r="J33" i="25"/>
  <c r="K33" i="25" s="1"/>
  <c r="J16" i="25"/>
  <c r="K16" i="25" s="1"/>
  <c r="J31" i="25"/>
  <c r="K31" i="25" s="1"/>
  <c r="J15" i="25"/>
  <c r="K15" i="25" s="1"/>
  <c r="J10" i="25"/>
  <c r="K10" i="25" s="1"/>
  <c r="J9" i="25"/>
  <c r="K9" i="25" s="1"/>
  <c r="J6" i="25"/>
  <c r="K6" i="25" s="1"/>
  <c r="J11" i="25"/>
  <c r="K11" i="25" s="1"/>
  <c r="J8" i="25"/>
  <c r="K8" i="25" s="1"/>
  <c r="J7" i="25"/>
  <c r="K7" i="25" s="1"/>
  <c r="J5" i="25"/>
  <c r="K5" i="25" s="1"/>
  <c r="J21" i="25"/>
  <c r="K21" i="25" s="1"/>
  <c r="J20" i="25"/>
  <c r="K20" i="25" s="1"/>
  <c r="J18" i="25"/>
  <c r="K18" i="25" s="1"/>
  <c r="J13" i="25"/>
  <c r="K13" i="25" s="1"/>
  <c r="J22" i="25"/>
  <c r="K22" i="25" s="1"/>
  <c r="Z32" i="27" l="1"/>
  <c r="Y32" i="27"/>
  <c r="W32" i="27"/>
  <c r="X32" i="27"/>
  <c r="A33" i="27"/>
  <c r="R32" i="27"/>
  <c r="K36" i="25"/>
  <c r="C24" i="18" l="1"/>
  <c r="K223" i="25"/>
  <c r="X33" i="27"/>
  <c r="W33" i="27"/>
  <c r="Y33" i="27"/>
  <c r="Z33" i="27"/>
  <c r="A34" i="27"/>
  <c r="R33" i="27"/>
  <c r="C8" i="18"/>
  <c r="Z34" i="27" l="1"/>
  <c r="W34" i="27"/>
  <c r="Y34" i="27"/>
  <c r="X34" i="27"/>
  <c r="A35" i="27"/>
  <c r="R34" i="27"/>
  <c r="Y35" i="27" l="1"/>
  <c r="X35" i="27"/>
  <c r="Z35" i="27"/>
  <c r="W35" i="27"/>
  <c r="A36" i="27"/>
  <c r="R35" i="27"/>
  <c r="Z36" i="27" l="1"/>
  <c r="Y36" i="27"/>
  <c r="W36" i="27"/>
  <c r="X36" i="27"/>
  <c r="A37" i="27"/>
  <c r="R36" i="27"/>
  <c r="X37" i="27" l="1"/>
  <c r="W37" i="27"/>
  <c r="Y37" i="27"/>
  <c r="Z37" i="27"/>
  <c r="A38" i="27"/>
  <c r="R37" i="27"/>
  <c r="Y38" i="27" l="1"/>
  <c r="Z38" i="27"/>
  <c r="X38" i="27"/>
  <c r="W38" i="27"/>
  <c r="A39" i="27"/>
  <c r="R38" i="27"/>
  <c r="Y39" i="27" l="1"/>
  <c r="W39" i="27"/>
  <c r="Z39" i="27"/>
  <c r="X39" i="27"/>
  <c r="A40" i="27"/>
  <c r="R39" i="27"/>
  <c r="X40" i="27" l="1"/>
  <c r="W40" i="27"/>
  <c r="Y40" i="27"/>
  <c r="Z40" i="27"/>
  <c r="A41" i="27"/>
  <c r="R40" i="27"/>
  <c r="Y41" i="27" l="1"/>
  <c r="W41" i="27"/>
  <c r="X41" i="27"/>
  <c r="Z41" i="27"/>
  <c r="A42" i="27"/>
  <c r="R41" i="27"/>
  <c r="Y42" i="27" l="1"/>
  <c r="X42" i="27"/>
  <c r="Z42" i="27"/>
  <c r="W42" i="27"/>
  <c r="A43" i="27"/>
  <c r="R42" i="27"/>
  <c r="X43" i="27" l="1"/>
  <c r="Z43" i="27"/>
  <c r="Z46" i="27" s="1"/>
  <c r="Z286" i="27" s="1"/>
  <c r="W43" i="27"/>
  <c r="Y43" i="27"/>
  <c r="A44" i="27"/>
  <c r="Y46" i="27"/>
  <c r="Y286" i="27" s="1"/>
  <c r="R43" i="27"/>
  <c r="W46" i="27"/>
  <c r="W286" i="27" s="1"/>
  <c r="AB286" i="27" s="1"/>
  <c r="Z44" i="27" l="1"/>
  <c r="W44" i="27"/>
  <c r="Y44" i="27"/>
  <c r="X44" i="27"/>
  <c r="X46" i="27"/>
  <c r="X286" i="27" s="1"/>
  <c r="R46" i="27"/>
  <c r="R286" i="27" s="1"/>
  <c r="A45" i="27"/>
  <c r="R44" i="27"/>
  <c r="X45" i="27" l="1"/>
  <c r="Y45" i="27"/>
  <c r="W45" i="27"/>
  <c r="Z45" i="27"/>
  <c r="R45" i="27"/>
  <c r="C25" i="18"/>
  <c r="C9" i="18" l="1"/>
  <c r="C11" i="18" s="1"/>
  <c r="C12" i="18" s="1"/>
  <c r="C27" i="18"/>
  <c r="C28" i="18" s="1"/>
</calcChain>
</file>

<file path=xl/sharedStrings.xml><?xml version="1.0" encoding="utf-8"?>
<sst xmlns="http://schemas.openxmlformats.org/spreadsheetml/2006/main" count="1628" uniqueCount="341">
  <si>
    <t>TOTAL PROJECT BCA</t>
  </si>
  <si>
    <t>7% NPV Summary over 30 Years</t>
  </si>
  <si>
    <t>ALL PROJECTS</t>
  </si>
  <si>
    <t>Costs</t>
  </si>
  <si>
    <t>Benefits</t>
  </si>
  <si>
    <t>CAPEX</t>
  </si>
  <si>
    <t>M&amp;O</t>
  </si>
  <si>
    <t>Travel Time Savings</t>
  </si>
  <si>
    <t xml:space="preserve">Safety </t>
  </si>
  <si>
    <t xml:space="preserve">Emissions </t>
  </si>
  <si>
    <t xml:space="preserve">Operating Costs </t>
  </si>
  <si>
    <t>TOTAL</t>
  </si>
  <si>
    <t>Benefit-Cost Ratio</t>
  </si>
  <si>
    <t>Waterville,  I-95 Bridges over Webb Rd. #1461, #5813</t>
  </si>
  <si>
    <t>Benefit Cost Analysis (BCA) - Bridge Replacement compared to No Build</t>
  </si>
  <si>
    <t>Bridge #1461 and #5813</t>
  </si>
  <si>
    <t>Solon, US RTE 201, Main Street over Fall Brook</t>
  </si>
  <si>
    <t>Bridge #2504</t>
  </si>
  <si>
    <t>Martins Bridge, Rumford Maine.  US route 2 over Ellis River (# 2514), Bridge Replacement</t>
  </si>
  <si>
    <t>Bridge #2514</t>
  </si>
  <si>
    <t>Red Bridge, Rumford Maine.  US route 2 over Swift River (# 2707), Bridge Replacement</t>
  </si>
  <si>
    <t>Bridge #2707</t>
  </si>
  <si>
    <t>Stillwater # 1 and # 2 Old Town Maine. Stillwater Bridges over the Stillwater River (# 1472 and 2806), Bridge Replacements and intersection and roadway improvements  on Stillwater Ave.</t>
  </si>
  <si>
    <t>Bridges 1472,2806 &amp; intersection/road reconstruction</t>
  </si>
  <si>
    <t>Bangor,  I-95 over Broadway #5789</t>
  </si>
  <si>
    <t>Bridge #5789</t>
  </si>
  <si>
    <t>BRIDGE #1461 &amp; #5813-Award Year</t>
  </si>
  <si>
    <t>BRIDGE #2504-Award Year</t>
  </si>
  <si>
    <t>BRIDGE #2514-Award Year</t>
  </si>
  <si>
    <t>Year</t>
  </si>
  <si>
    <t>Calendar Year</t>
  </si>
  <si>
    <t>Capital Cost</t>
  </si>
  <si>
    <t>7% NPV</t>
  </si>
  <si>
    <t>Residual Value =</t>
  </si>
  <si>
    <t>Bridge 2707-Award Year</t>
  </si>
  <si>
    <t>BRIDGE #1472,2806 and intersections-Award Year</t>
  </si>
  <si>
    <t>BRIDGE #5789-Award Year</t>
  </si>
  <si>
    <t>Intersections/road</t>
  </si>
  <si>
    <t>Br 2806</t>
  </si>
  <si>
    <t>Br 1472</t>
  </si>
  <si>
    <t>Total</t>
  </si>
  <si>
    <t>I95SB/Webb Road and I95NB/Webb Road, Waterville Maine. I 95 Bridges over Webb Road (# 1461 and 5813), Bridge Replacements</t>
  </si>
  <si>
    <t>Benefit Cost Analysis (BCA) - Bridge Replacement compared to No-Build</t>
  </si>
  <si>
    <t>Conforming to 2020 INFRA Requirements</t>
  </si>
  <si>
    <t>Project Description: Replacement of the I 95 Bridges over Webb Road</t>
  </si>
  <si>
    <t>Estimated Project Timing:  2020 - Existing Year / 2022 - Construction Start / 2024 - Construction Finished  / 2049 - 30 Year Forecast.</t>
  </si>
  <si>
    <t>Potential bridge rehabilitation costs after replacement- 2039- Wearing Surface Replacement, Joint Replacement; 2031 and 2048 Mill and Fill and Reseal the joints</t>
  </si>
  <si>
    <t>Benefits (Avoided Cost Associated with No-Build)</t>
  </si>
  <si>
    <t>Costs (Bridge Replacement)</t>
  </si>
  <si>
    <t>Project Year</t>
  </si>
  <si>
    <t>Rehab Construction Costs</t>
  </si>
  <si>
    <t>Annualized Maintenance Costs</t>
  </si>
  <si>
    <t>Total Annual Benefits</t>
  </si>
  <si>
    <t>Discounted Benefits -Present Value @ 7%</t>
  </si>
  <si>
    <t>Annual Maintenance Costs</t>
  </si>
  <si>
    <t>Total Annual Costs</t>
  </si>
  <si>
    <t>Discounted Costs - Present Value @ 7%</t>
  </si>
  <si>
    <t>no build: do M/F and BEP/BRG in 2020 and post/close 2025</t>
  </si>
  <si>
    <t>Constr starts 2022</t>
  </si>
  <si>
    <t>source new bridge deck area:BMS</t>
  </si>
  <si>
    <t>Closed</t>
  </si>
  <si>
    <t>WSR/joints</t>
  </si>
  <si>
    <t>M/F</t>
  </si>
  <si>
    <t>deck area-both bridgesm, assume no change</t>
  </si>
  <si>
    <t>source: prelim estimate</t>
  </si>
  <si>
    <t>WSR/ joints</t>
  </si>
  <si>
    <t>CPC(multi spans)</t>
  </si>
  <si>
    <t>Mill and Fill/seal</t>
  </si>
  <si>
    <t>BEP/ Bearings</t>
  </si>
  <si>
    <t>superstr. paint</t>
  </si>
  <si>
    <t>Present Value Benefits</t>
  </si>
  <si>
    <t>Present Value Costs</t>
  </si>
  <si>
    <t>@ 7%</t>
  </si>
  <si>
    <t>Assumptions:</t>
  </si>
  <si>
    <t>Discount Rate:</t>
  </si>
  <si>
    <t>Benefit Cost Ratios</t>
  </si>
  <si>
    <t>Solon-US 201 over Fall Brook (# 2504), Bridge Replacement</t>
  </si>
  <si>
    <t>Project Description: Replacement of Solon US201 Bridge over Fall Brook</t>
  </si>
  <si>
    <t>Estimated Project Timing:  2020 - Existing Year / 2022 - Construction Start / 2024 - Construction Finished (opening year)  / 2049 - 30 Year Forecast.</t>
  </si>
  <si>
    <t>Planned bridge rehabilitation costs after replacement- 2038- Wearing Surface Replacement, Joint Replacement;  2032 and 2048- Mill and Fill and Reseal the joints.</t>
  </si>
  <si>
    <t>No build: do M/F, BEP in 2020. Close in 2020</t>
  </si>
  <si>
    <t>Constr starts 2022, ends 2024</t>
  </si>
  <si>
    <t xml:space="preserve">source of new bridge deck area: Bridge Mgmt </t>
  </si>
  <si>
    <t>Rehab Costs after Project completion</t>
  </si>
  <si>
    <t>closed</t>
  </si>
  <si>
    <t xml:space="preserve">WSR/Joints </t>
  </si>
  <si>
    <t>Mill and Fill\ reseal joints</t>
  </si>
  <si>
    <t>New Deck Area:(BM)</t>
  </si>
  <si>
    <t>L</t>
  </si>
  <si>
    <t>W</t>
  </si>
  <si>
    <t>Area</t>
  </si>
  <si>
    <t>WSR/joint replace</t>
  </si>
  <si>
    <t>/SF</t>
  </si>
  <si>
    <t>CPC(single span)</t>
  </si>
  <si>
    <t>Mill and Fill/ Joint seal</t>
  </si>
  <si>
    <t>Spot Paint/BEP/Bearings</t>
  </si>
  <si>
    <t>/Bridge</t>
  </si>
  <si>
    <t>Superstr. Paint</t>
  </si>
  <si>
    <t>S/F</t>
  </si>
  <si>
    <t>Project Description: Replacement of Rumford Martins Bridge</t>
  </si>
  <si>
    <t>Estimated Project Timing:  2020 - Existing Year / 2023 - Construction Start / 2025 - Construction Finished  / 2049 - 30 Year Forecast.</t>
  </si>
  <si>
    <t>Potential bridge rehabilitation costs after replacement- 2040- Wearing Surface Replacement, Joint Replacement;  2033 and 2049 Mill and Fill and Reseal the joints</t>
  </si>
  <si>
    <t>No build: do M/F, BEP in 2020 and post/close 2025</t>
  </si>
  <si>
    <t>source of new bridge deck area: Prelim cost estimate</t>
  </si>
  <si>
    <t>Rehab Costs after Project</t>
  </si>
  <si>
    <t>new deck area</t>
  </si>
  <si>
    <t>super paint</t>
  </si>
  <si>
    <t>Project Description: Replacement of Rumford Red Bridge</t>
  </si>
  <si>
    <t>Estimated Project Timing:  2020 - Existing Year / 2023 - Construction Start / 2024 - Construction Finished   / 2049 - 30 Year Forecast.</t>
  </si>
  <si>
    <t>Potential bridge rehabilitation costs after replacement- 2039- Wearing Surface Replacement, Joint Replacement; 2032 and 2048 Mill and Fill and Reseal the joints</t>
  </si>
  <si>
    <t>No build: do M/F and BEP in 2020 and post/close 2025</t>
  </si>
  <si>
    <t>Constr starts 2023</t>
  </si>
  <si>
    <t>source new bridge deck area: Prelim cost estimate</t>
  </si>
  <si>
    <t>Stillwater # 1 and # 2 Old Town Maine. Stillwater Bridges over the Stillwater River (# 1472 and 2806), Bridge Replacements and intersection and roadway and improvements on Stillwater Ave.</t>
  </si>
  <si>
    <t>Project Description: Replacement of Stillwater Ave. Bridges and Reconstruction of Stillwater Ave. between Bennoch Road and College Ave., and intersections</t>
  </si>
  <si>
    <t>Estimated Project Timing:  2020 - Existing Year / 2022 - Construction Start / 2025 - Construction Finished (opening year)  / 2049 - 30 Year Forecast.</t>
  </si>
  <si>
    <r>
      <rPr>
        <b/>
        <sz val="14"/>
        <rFont val="Calibri"/>
        <family val="2"/>
        <scheme val="minor"/>
      </rPr>
      <t>Potential bridge rehabilitation</t>
    </r>
    <r>
      <rPr>
        <sz val="14"/>
        <rFont val="Calibri"/>
        <family val="2"/>
        <scheme val="minor"/>
      </rPr>
      <t xml:space="preserve"> costs after replacement- 2040- Wearing Surface Replacement, Joint Replacement; 2033 and 2049 Mill and Fill and Reseal the joints. </t>
    </r>
    <r>
      <rPr>
        <b/>
        <sz val="14"/>
        <rFont val="Calibri"/>
        <family val="2"/>
        <scheme val="minor"/>
      </rPr>
      <t>Potential Intersections and Streets</t>
    </r>
    <r>
      <rPr>
        <sz val="14"/>
        <rFont val="Calibri"/>
        <family val="2"/>
        <scheme val="minor"/>
      </rPr>
      <t xml:space="preserve"> rehabilitation after reconstruction; Ultra-thin bonded wearing course 2033, 2040 and 2047. </t>
    </r>
  </si>
  <si>
    <t>Costs (Bridge Replacement and roadway/intersection reconstruction)</t>
  </si>
  <si>
    <t xml:space="preserve">No build: do M/F and BEP/BRGS on Bridges and UTBWC on roads in 2020 and post/close 2025. </t>
  </si>
  <si>
    <t>source new bridge deck area: PDR Prelim Cost Est</t>
  </si>
  <si>
    <t>Rehab after project: Both Bridges</t>
  </si>
  <si>
    <t>new deck area-both bridges</t>
  </si>
  <si>
    <t>spot paint/BEP/ Bearings</t>
  </si>
  <si>
    <t>Rehab after project: Intersections and Roads</t>
  </si>
  <si>
    <t>UTBWC-incl night work</t>
  </si>
  <si>
    <t>2033, 2040, 2047</t>
  </si>
  <si>
    <t>Intersections and Road</t>
  </si>
  <si>
    <t>W(incl shoulders)</t>
  </si>
  <si>
    <t>Stillwater</t>
  </si>
  <si>
    <t>Bennoch</t>
  </si>
  <si>
    <t>College</t>
  </si>
  <si>
    <t>SF(incl radii)</t>
  </si>
  <si>
    <t>Ultrathin bonded wearing course, with night work $/SF</t>
  </si>
  <si>
    <t>8 years after initial work, then every 7 years</t>
  </si>
  <si>
    <t>I95/Broadway, Bangor, Maine.  I 95 over Rte 15 (# 5789), Bridge Replacement</t>
  </si>
  <si>
    <t>Project Description: Replacement of I95/Broadway Bridge</t>
  </si>
  <si>
    <t>Estimated Project Timing:  2020 - Existing Year / 2023 - Construction Start / 2025 - Construction Finished (opening year)  / 2049 - 30 Year Forecast.</t>
  </si>
  <si>
    <t>Potential bridge rehabilitation costs after replacement- 2040- Wearing Surface Replacement, Joint Replacement, Beam Ends and Bearings Spot Painting ; 2040 Concrete Protective Coating; 2033 and 2049 Mill and Fill and Reseal the joints ; 2049 superstructure paint</t>
  </si>
  <si>
    <t>no build: do M/F and BEP/Brg in 2020 and post/close 2025</t>
  </si>
  <si>
    <t>Assume Bridge Deck Area Remains the same.</t>
  </si>
  <si>
    <t xml:space="preserve">CPC </t>
  </si>
  <si>
    <t>Spot Paint/BEP/bgs</t>
  </si>
  <si>
    <t>new deck area( BM), Same as Existing</t>
  </si>
  <si>
    <t>CPC (multi span)</t>
  </si>
  <si>
    <t>No Build Scenario - Waterville,  I-95 Bridges over Webb Rd. #1461, #5813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</si>
  <si>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</si>
  <si>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</si>
  <si>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</si>
  <si>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</si>
  <si>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</si>
  <si>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</si>
  <si>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</si>
  <si>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</si>
  <si>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</si>
  <si>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</si>
  <si>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</si>
  <si>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</si>
  <si>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</si>
  <si>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</si>
  <si>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P</t>
  </si>
  <si>
    <t>R</t>
  </si>
  <si>
    <t>AADT Passenger Vehicles  Over Bridge</t>
  </si>
  <si>
    <t>Average Annual Passenger Vehicles  Over Bridge</t>
  </si>
  <si>
    <t>Detour Mileage</t>
  </si>
  <si>
    <t xml:space="preserve">Detour Time Spent </t>
  </si>
  <si>
    <t>1.67 Occupants per PV Passenger $16.60 per person-hour (per U.S.DOT 2020 , BCA guidance,  Table A-3, pg 31 and Table A-4, pg 32)</t>
  </si>
  <si>
    <t>Total Passenger Travel Time Cost</t>
  </si>
  <si>
    <t>AADT Trucks Over Bridge</t>
  </si>
  <si>
    <t>Average Annual Trucks Over Bridge</t>
  </si>
  <si>
    <t xml:space="preserve"> Detour Mileage</t>
  </si>
  <si>
    <t>Truck Driver $29.50 per person-hour (assumes non-team driving)(per U.S. DOT 2020, BCA Guidance, Table A-3, pg 31)</t>
  </si>
  <si>
    <t>Total Truck Driver Time Travel Cost</t>
  </si>
  <si>
    <t>Net Travel Time Costs</t>
  </si>
  <si>
    <t>7% NPV Trucking Costs</t>
  </si>
  <si>
    <t>AADT and AADT Trucks from Maine DOT Traffic Analysis</t>
  </si>
  <si>
    <t>No Build Scenario - Solon,  US Rte 201 over Fall Brook #2504</t>
  </si>
  <si>
    <t>No Build Scenario - Rumford, Martins Bridge,   Rte 2 over Ellis River #2514</t>
  </si>
  <si>
    <t>No Build Scenario - Rumford, Red Bridge,   Rte 2 over Swift River #2707</t>
  </si>
  <si>
    <t>No Build Scenario - Old Town, Stillwater Bridges over the N and S channels of the Stillwater River and intersections and roadway reconstruction project</t>
  </si>
  <si>
    <t>No Build Scenario - Bangor,  I-95 over Broadway #5789</t>
  </si>
  <si>
    <t>Grand Totals</t>
  </si>
  <si>
    <t>AADT Over Bridge</t>
  </si>
  <si>
    <t>Annual Average Vehicles</t>
  </si>
  <si>
    <t>Detour Miles Traveled</t>
  </si>
  <si>
    <t>Total Detour Miles Traveled</t>
  </si>
  <si>
    <t>Cost of Highway Fatalities(0.932  fatalities for every 100 million vehicle miles traveled-2017 Maine crash data)** ($9.6 million/life)(per BCA Guidance)</t>
  </si>
  <si>
    <t>Cost of Highway Injuries (56 injuries for every 100 million vehicle miles) (2017  Maine Crash Data)**(.003 Fraction of VSL used to calculate cost of injury averted) (per 2020 USDOT BCA Guidance)</t>
  </si>
  <si>
    <t xml:space="preserve">Property Damage Only Crashes ($4,400 per vehicle in crash) (166 crashes per 100,000,000 VMT)(2017  Maine Crash Data)**(Table A-2, page 30 USDOT 2020 BCA guidance) </t>
  </si>
  <si>
    <t xml:space="preserve">Net Costs </t>
  </si>
  <si>
    <t>7% NPV Fatalities Costs</t>
  </si>
  <si>
    <t>7% NPV Injury Costs</t>
  </si>
  <si>
    <t>7% NPV Property Damage Costs</t>
  </si>
  <si>
    <t>Q</t>
  </si>
  <si>
    <t>Location:</t>
  </si>
  <si>
    <t>Waterville</t>
  </si>
  <si>
    <t>I95/Webb Road Bridges #1461,#5813</t>
  </si>
  <si>
    <t>WIN:</t>
  </si>
  <si>
    <t>Emissions**</t>
  </si>
  <si>
    <t>Emission Costs*</t>
  </si>
  <si>
    <t xml:space="preserve">CO2 emissions/mile based on EPA carbon content in </t>
  </si>
  <si>
    <t>Base Calendar Year:</t>
  </si>
  <si>
    <t>Rates in grams per vehicle-mile</t>
  </si>
  <si>
    <t>Costs per short ton of emissions</t>
  </si>
  <si>
    <t xml:space="preserve">Gasoline (8887 CO2/gallon) divided by the </t>
  </si>
  <si>
    <t>Base Year AADT:</t>
  </si>
  <si>
    <t>vehicles per day</t>
  </si>
  <si>
    <t>Light Vehicles</t>
  </si>
  <si>
    <t>VOC</t>
  </si>
  <si>
    <t>Nox</t>
  </si>
  <si>
    <t>Particulates</t>
  </si>
  <si>
    <t>Sulfur Dioxide</t>
  </si>
  <si>
    <t>average mpg (22.3) from FHWA statistics, 2017.</t>
  </si>
  <si>
    <t>% Trucks:</t>
  </si>
  <si>
    <t>NOx</t>
  </si>
  <si>
    <t>Base Year AADTT:</t>
  </si>
  <si>
    <t>trucks per day</t>
  </si>
  <si>
    <t>30-Year Growth Factor:</t>
  </si>
  <si>
    <t>Trucks</t>
  </si>
  <si>
    <t>Year of Full Closure:</t>
  </si>
  <si>
    <t>Added VMT per vehicle:</t>
  </si>
  <si>
    <t>miles</t>
  </si>
  <si>
    <t>Added VHT per vehicle:</t>
  </si>
  <si>
    <t>hours</t>
  </si>
  <si>
    <t>**For sources and calculations, see "Emission Rates" tab.</t>
  </si>
  <si>
    <t>*For emissions costs sources, see "Unit Cost Sources" tab.</t>
  </si>
  <si>
    <t>AADT Cars Over Bridge</t>
  </si>
  <si>
    <t>AADT Heavy Trucks Over Bridge</t>
  </si>
  <si>
    <t>Added Annual Light Vehicle VMT due to Closure</t>
  </si>
  <si>
    <t>Added Annual Truck VMT due to Closure</t>
  </si>
  <si>
    <t>Added Annual Short Tons of VOC Emissions due to Closure</t>
  </si>
  <si>
    <t>Added Annual Short Tons of NOx Emissions due to Closure</t>
  </si>
  <si>
    <t>Added Annual Short Tons of Particulates Emissions due to Closure</t>
  </si>
  <si>
    <t>Added Annual Short Tons of Sulfur Dioxide Emissions due to Closure</t>
  </si>
  <si>
    <t>Added Annual VOC Emissions Costs due to Closure</t>
  </si>
  <si>
    <t>Added Annual NOx Emissions Costs due to Closure</t>
  </si>
  <si>
    <t>Added Annual Particulates Emissions Costs due to Closure</t>
  </si>
  <si>
    <t>Added Annual Sulfur Dioxide Emissions Costs due to Closure</t>
  </si>
  <si>
    <r>
      <t>SCC per metric ton CO</t>
    </r>
    <r>
      <rPr>
        <b/>
        <vertAlign val="subscript"/>
        <sz val="12"/>
        <color rgb="FF000000"/>
        <rFont val="Calibri"/>
        <family val="2"/>
      </rPr>
      <t>2</t>
    </r>
    <r>
      <rPr>
        <b/>
        <sz val="12"/>
        <color rgb="FF000000"/>
        <rFont val="Calibri"/>
        <family val="2"/>
      </rPr>
      <t xml:space="preserve">  (398.52 g /mile/1,000,000 (metric ton conversion))  (1)</t>
    </r>
  </si>
  <si>
    <t>Combined Added Annual Emissions Costs due to Closure</t>
  </si>
  <si>
    <t>NPV-7%</t>
  </si>
  <si>
    <t>7% NPV VOC Costs</t>
  </si>
  <si>
    <t>7% NPV NOx Costs</t>
  </si>
  <si>
    <t>7% NPV Particulates Costs</t>
  </si>
  <si>
    <t>7% NPV Sulfur Dioxide Costs</t>
  </si>
  <si>
    <r>
      <t>1) for passenger vehicles, The CO</t>
    </r>
    <r>
      <rPr>
        <vertAlign val="subscript"/>
        <sz val="12"/>
        <color rgb="FF000000"/>
        <rFont val="Verdana"/>
        <family val="2"/>
      </rPr>
      <t>2</t>
    </r>
    <r>
      <rPr>
        <sz val="12"/>
        <color indexed="8"/>
        <rFont val="Verdana"/>
        <family val="2"/>
      </rPr>
      <t xml:space="preserve"> emissions per mile is calculated using EPA's carbon content in gasoline (8887g CO</t>
    </r>
    <r>
      <rPr>
        <vertAlign val="subscript"/>
        <sz val="12"/>
        <color rgb="FF000000"/>
        <rFont val="Verdana"/>
        <family val="2"/>
      </rPr>
      <t>2</t>
    </r>
    <r>
      <rPr>
        <sz val="12"/>
        <color rgb="FF000000"/>
        <rFont val="Verdana"/>
        <family val="2"/>
      </rPr>
      <t>/gallon) divided by the average miles per gallon (22.3) from the FHWA Highway Statistics 2017.</t>
    </r>
  </si>
  <si>
    <t>Solon</t>
  </si>
  <si>
    <t>Main Street Bridge (#2504)</t>
  </si>
  <si>
    <t>Rumford</t>
  </si>
  <si>
    <t>Martins(#2514)</t>
  </si>
  <si>
    <t>Red (#2707)</t>
  </si>
  <si>
    <t>Old Town</t>
  </si>
  <si>
    <t>Stillwater Bridges 1470 and 2806 and intersections/roads</t>
  </si>
  <si>
    <t>22511, 22512,22950</t>
  </si>
  <si>
    <t>Bangor</t>
  </si>
  <si>
    <t>I95/Bradway</t>
  </si>
  <si>
    <t xml:space="preserve">Gasoline (8887g CO2/gallon) divided by the </t>
  </si>
  <si>
    <t>Average Annual Passenger Cars Over Bridge</t>
  </si>
  <si>
    <t>Vehicle Operating Costs (Car per mile $0.41)(per U.S. DOT BCA Guidance)</t>
  </si>
  <si>
    <t>Average Annual Heavy Trucks</t>
  </si>
  <si>
    <t>Vehicle Operating Costs (Truck per VMT $0.96)(per U.S. DOT 2020 BCA Guidance)</t>
  </si>
  <si>
    <t>Net Costs</t>
  </si>
  <si>
    <t>*</t>
  </si>
  <si>
    <t>Unit Cost Calculations:</t>
  </si>
  <si>
    <t>Sources:</t>
  </si>
  <si>
    <t>Crash Cost per VMT</t>
  </si>
  <si>
    <t>Statewide VMT (2013-17, millions)</t>
  </si>
  <si>
    <r>
      <t>State of Maine Crash &amp; Highway Facts - 2017 Edition</t>
    </r>
    <r>
      <rPr>
        <sz val="10"/>
        <rFont val="Arial"/>
        <family val="2"/>
      </rPr>
      <t>, MaineDOT</t>
    </r>
  </si>
  <si>
    <t>Crash Severity Level</t>
  </si>
  <si>
    <t>PDO</t>
  </si>
  <si>
    <t>Statewide Crashes by Severity Level (2013-17)</t>
  </si>
  <si>
    <t>Cost of Crash by Severity Level ($)</t>
  </si>
  <si>
    <t>Benefit-Cost Analysis Guidance for Discretionary Grant Programs, USDOT, January 2020</t>
  </si>
  <si>
    <t>Total Crash Costs per Year ($)</t>
  </si>
  <si>
    <t>Fatalities/ 100M VMT</t>
  </si>
  <si>
    <t>Crash Costs per VMT ($)</t>
  </si>
  <si>
    <t>Injuries/ 100M VMT</t>
  </si>
  <si>
    <t>PDO Crashes/ 100M VMT</t>
  </si>
  <si>
    <t>Operating Cost</t>
  </si>
  <si>
    <t>Unit Cost per Passenger Vehicle VMT ($)</t>
  </si>
  <si>
    <t>Benefit-Cost Analysis Guidance for Discretionary Grant Programs, USDOT, January 2020, Table A-5</t>
  </si>
  <si>
    <t>Unit Cost per Truck VMT ($)</t>
  </si>
  <si>
    <t>Time Cost</t>
  </si>
  <si>
    <t>Unit Cost per Passenger Vehicle PHT ($)</t>
  </si>
  <si>
    <t>Benefit-Cost Analysis Guidance for Discretionary Grant Programs, USDOT, January 2020, Table A-3</t>
  </si>
  <si>
    <t>Vehicle Occupancy for Passenger Vehicles</t>
  </si>
  <si>
    <t>Benefit-Cost Analysis Guidance for Discretionary Grant Programs, USDOT, January 2020, Table A-4</t>
  </si>
  <si>
    <t>Unit Cost per Passenger Vehicle VHT ($)</t>
  </si>
  <si>
    <t>Unit Cost per Truck PHT ($)</t>
  </si>
  <si>
    <t>Vehicle Occupancy for Trucks</t>
  </si>
  <si>
    <t>Unit Cost per Truck VHT ($)</t>
  </si>
  <si>
    <t>Emissions Unit Costs</t>
  </si>
  <si>
    <t>$/short ton</t>
  </si>
  <si>
    <t>Benefit-Cost Analysis Guidance for Discretionary Grant Programs, USDOT, January 2020, Table A-6</t>
  </si>
  <si>
    <t>Emissions Rates Used in Benefit-Cost Analysis</t>
  </si>
  <si>
    <t>2020 Emissions Rates (grams/veh-mile)</t>
  </si>
  <si>
    <t>sum of PM2.5 rates</t>
  </si>
  <si>
    <t xml:space="preserve">Source: </t>
  </si>
  <si>
    <t>Maine Department of Environmental Protection</t>
  </si>
  <si>
    <t>HPMS Class</t>
  </si>
  <si>
    <t>stateID</t>
  </si>
  <si>
    <t>stateABBR</t>
  </si>
  <si>
    <t>pollutantID</t>
  </si>
  <si>
    <t>pollutantName</t>
  </si>
  <si>
    <t>2017
Emissions Rate (grams/veh-mile)</t>
  </si>
  <si>
    <t>2020
Emissions Rate (grams/veh-mile)</t>
  </si>
  <si>
    <t>2017
Emissions Rate (grams/veh-hour)</t>
  </si>
  <si>
    <t>2020
Emissions Rate (grams/veh-hour)</t>
  </si>
  <si>
    <t>HPMS Classes (10, 20, 30)</t>
  </si>
  <si>
    <t>ME</t>
  </si>
  <si>
    <t>Primary PM2.5 - Tirewear Particulate</t>
  </si>
  <si>
    <t>Primary PM2.5 - Brakewear Particulate</t>
  </si>
  <si>
    <t>Primary Exhaust PM2.5 - Total</t>
  </si>
  <si>
    <t>Primary PM10 - Tirewear Particulate</t>
  </si>
  <si>
    <t>Primary PM10 - Brakewear Particulate</t>
  </si>
  <si>
    <t>Primary Exhaust PM10  - Total</t>
  </si>
  <si>
    <t>Volatile Organic Compounds</t>
  </si>
  <si>
    <t>Sulfur Dioxide (SO2)</t>
  </si>
  <si>
    <t>Oxides of Nitrogen (NOx)</t>
  </si>
  <si>
    <t>These represent emissions rates for (motorcycles, passenger car and trucks, and light-duty commercial trucks)  HPMS Classes (10, 20, 30)</t>
  </si>
  <si>
    <t>HPMS Classes (40,50,60)</t>
  </si>
  <si>
    <t>These represent emissions rates for HPMS Classes (40,50,60) Medium and heavy duty trucks and buses.</t>
  </si>
  <si>
    <t>NOTES:</t>
  </si>
  <si>
    <t xml:space="preserve">Estimates are based upon statewide travel by calendar year for all road types Urban (restricted and unrestricted); Rural (restricted and unrestricted).  </t>
  </si>
  <si>
    <t xml:space="preserve">Vehicles types are defined as follows: </t>
  </si>
  <si>
    <t xml:space="preserve">HPMS Classes (10,20,30) represent motorcycle; light-duty vehicles (passenger cars); light-duty passenger and commercial trucks (two axle, four tire). </t>
  </si>
  <si>
    <t xml:space="preserve">HPMS Classes (40,50,60) represent all bus classes (School, Transit, Intercity); all heavy-duty vehicles (trucks with more than two axles or four tires). </t>
  </si>
  <si>
    <t xml:space="preserve">Emissions factors are averages based on the national average age distributions, vehicle activity (speeds, operating modes, vehicle-miles traveled fractions), </t>
  </si>
  <si>
    <t xml:space="preserve">temperatures, inspection/maintenance and antitampering programs, and average fuel properties in that calendar year. </t>
  </si>
  <si>
    <t>Average emissions per vehicle group rates assume a fleet comprised on CNG transit buses, gasoline and diesel vehicles.  Gasoline-electric hybrids are accounted for in the values for gasoline vehicles.</t>
  </si>
  <si>
    <t>This table was generated using MOVES2014b, the U.S. Environmental Protection Agency's (EPA) mobile source emissions factor model. More information on MOVES is available at /www.epa.gov/moves.</t>
  </si>
  <si>
    <t>SOURCE</t>
  </si>
  <si>
    <t>Maine Department of Environmental Protection, Bureau of Air Quality, Mobile Sources Section, modeling personnel, Jan. 27, 2020.</t>
  </si>
  <si>
    <t>Work Item</t>
  </si>
  <si>
    <t>Lifespan</t>
  </si>
  <si>
    <t>15, then 10</t>
  </si>
  <si>
    <t>Mill and Fill/ reseal joints</t>
  </si>
  <si>
    <t>7-9</t>
  </si>
  <si>
    <t>Spot Painting/beam end paint/brgs</t>
  </si>
  <si>
    <t>10-15</t>
  </si>
  <si>
    <t>Super Paint</t>
  </si>
  <si>
    <t>Wearing Surface Repl/Joint Replace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</si>
</sst>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/d/yy;@"/>
    <numFmt numFmtId="166" formatCode="&quot;$&quot;#,##0.00"/>
    <numFmt numFmtId="167" formatCode="&quot; &quot;&quot;$&quot;* #,##0&quot; &quot;;&quot; &quot;&quot;$&quot;* \(#,##0\);&quot; &quot;&quot;$&quot;* &quot;-&quot;??&quot; &quot;"/>
    <numFmt numFmtId="168" formatCode="&quot;$&quot;#,##0;[Red]\-&quot;$&quot;#,##0"/>
    <numFmt numFmtId="169" formatCode="#,##0.000"/>
    <numFmt numFmtId="170" formatCode="0.000000"/>
    <numFmt numFmtId="171" formatCode="0.000"/>
    <numFmt numFmtId="172" formatCode="_(&quot;$&quot;* #,##0_);_(&quot;$&quot;* \(#,##0\);_(&quot;$&quot;* &quot;-&quot;??_);_(@_)"/>
    <numFmt numFmtId="173" formatCode="_(* #,##0_);_(* \(#,##0\);_(* &quot;-&quot;??_);_(@_)"/>
    <numFmt numFmtId="174" formatCode="&quot;$&quot;#,##0.000_);[Red]\(&quot;$&quot;#,##0.000\)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6"/>
      <color indexed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1"/>
      <color rgb="FF1F497D"/>
      <name val="Calibri"/>
      <family val="2"/>
    </font>
    <font>
      <sz val="12"/>
      <color indexed="8"/>
      <name val="Verdana"/>
      <family val="2"/>
    </font>
    <font>
      <b/>
      <sz val="12"/>
      <color indexed="8"/>
      <name val="Verdan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  <scheme val="minor"/>
    </font>
    <font>
      <sz val="12"/>
      <color indexed="8"/>
      <name val="Verdana"/>
      <family val="2"/>
    </font>
    <font>
      <sz val="12"/>
      <color indexed="8"/>
      <name val="Calibri"/>
      <family val="2"/>
      <scheme val="minor"/>
    </font>
    <font>
      <b/>
      <sz val="11"/>
      <color rgb="FFFF000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4"/>
      <name val="Calibri"/>
      <family val="2"/>
      <scheme val="minor"/>
    </font>
    <font>
      <sz val="12"/>
      <color indexed="8"/>
      <name val="Calibri"/>
      <family val="2"/>
    </font>
    <font>
      <sz val="12"/>
      <color rgb="FF000000"/>
      <name val="Calibri"/>
      <family val="2"/>
    </font>
    <font>
      <i/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Arial"/>
      <family val="2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vertAlign val="subscript"/>
      <sz val="12"/>
      <color rgb="FF000000"/>
      <name val="Verdana"/>
      <family val="2"/>
    </font>
    <font>
      <sz val="12"/>
      <color rgb="FF000000"/>
      <name val="Verdana"/>
      <family val="2"/>
    </font>
    <font>
      <sz val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indexed="8"/>
      <name val="Arial"/>
      <family val="2"/>
    </font>
    <font>
      <b/>
      <i/>
      <sz val="11"/>
      <name val="Arial"/>
      <family val="2"/>
    </font>
    <font>
      <b/>
      <i/>
      <sz val="11"/>
      <color rgb="FF0070C0"/>
      <name val="Arial"/>
      <family val="2"/>
    </font>
    <font>
      <i/>
      <sz val="11"/>
      <color rgb="FF0070C0"/>
      <name val="Arial"/>
      <family val="2"/>
    </font>
    <font>
      <b/>
      <i/>
      <u/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i/>
      <sz val="12"/>
      <name val="Arial"/>
      <family val="2"/>
    </font>
    <font>
      <b/>
      <i/>
      <sz val="12"/>
      <color rgb="FF0070C0"/>
      <name val="Arial"/>
      <family val="2"/>
    </font>
    <font>
      <i/>
      <sz val="12"/>
      <color rgb="FF0070C0"/>
      <name val="Arial"/>
      <family val="2"/>
    </font>
    <font>
      <b/>
      <i/>
      <u/>
      <sz val="12"/>
      <color indexed="8"/>
      <name val="Arial"/>
      <family val="2"/>
    </font>
    <font>
      <b/>
      <sz val="11"/>
      <name val="Calibri"/>
      <family val="2"/>
      <scheme val="minor"/>
    </font>
    <font>
      <sz val="14"/>
      <name val="Arial"/>
      <family val="2"/>
    </font>
    <font>
      <sz val="8"/>
      <color indexed="8"/>
      <name val="Verdana"/>
      <family val="2"/>
    </font>
    <font>
      <sz val="7"/>
      <color indexed="8"/>
      <name val="Verdana"/>
      <family val="2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3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64"/>
      </right>
      <top style="medium">
        <color indexed="8"/>
      </top>
      <bottom/>
      <diagonal/>
    </border>
    <border>
      <left style="double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 style="double">
        <color indexed="64"/>
      </right>
      <top style="medium">
        <color auto="1"/>
      </top>
      <bottom/>
      <diagonal/>
    </border>
    <border>
      <left style="double">
        <color indexed="64"/>
      </left>
      <right/>
      <top style="medium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double">
        <color indexed="64"/>
      </bottom>
      <diagonal/>
    </border>
    <border>
      <left/>
      <right style="double">
        <color indexed="64"/>
      </right>
      <top style="medium">
        <color indexed="8"/>
      </top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14" fillId="0" borderId="0" applyNumberFormat="0" applyFill="0" applyBorder="0" applyProtection="0">
      <alignment vertical="top" wrapText="1"/>
    </xf>
    <xf numFmtId="44" fontId="14" fillId="0" borderId="0" applyFont="0" applyFill="0" applyBorder="0" applyAlignment="0" applyProtection="0"/>
    <xf numFmtId="0" fontId="21" fillId="0" borderId="0" applyNumberFormat="0" applyFill="0" applyBorder="0" applyProtection="0">
      <alignment vertical="top" wrapText="1"/>
    </xf>
    <xf numFmtId="0" fontId="14" fillId="0" borderId="0" applyNumberFormat="0" applyFill="0" applyBorder="0" applyProtection="0">
      <alignment vertical="top" wrapText="1"/>
    </xf>
    <xf numFmtId="9" fontId="24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43" fontId="57" fillId="0" borderId="0" applyFont="0" applyFill="0" applyBorder="0" applyAlignment="0" applyProtection="0"/>
  </cellStyleXfs>
  <cellXfs count="590">
    <xf numFmtId="0" fontId="0" fillId="0" borderId="0" xfId="0"/>
    <xf numFmtId="0" fontId="12" fillId="0" borderId="0" xfId="0" applyFont="1"/>
    <xf numFmtId="0" fontId="14" fillId="0" borderId="0" xfId="2">
      <alignment vertical="top" wrapText="1"/>
    </xf>
    <xf numFmtId="3" fontId="14" fillId="0" borderId="0" xfId="2" applyNumberFormat="1">
      <alignment vertical="top" wrapText="1"/>
    </xf>
    <xf numFmtId="0" fontId="14" fillId="0" borderId="0" xfId="2" applyNumberFormat="1">
      <alignment vertical="top" wrapText="1"/>
    </xf>
    <xf numFmtId="168" fontId="14" fillId="0" borderId="0" xfId="2" applyNumberFormat="1">
      <alignment vertical="top" wrapText="1"/>
    </xf>
    <xf numFmtId="0" fontId="21" fillId="0" borderId="0" xfId="4">
      <alignment vertical="top" wrapText="1"/>
    </xf>
    <xf numFmtId="0" fontId="14" fillId="0" borderId="0" xfId="5" applyNumberFormat="1">
      <alignment vertical="top" wrapText="1"/>
    </xf>
    <xf numFmtId="0" fontId="14" fillId="0" borderId="0" xfId="5">
      <alignment vertical="top" wrapText="1"/>
    </xf>
    <xf numFmtId="0" fontId="22" fillId="0" borderId="0" xfId="2" applyNumberFormat="1" applyFont="1" applyAlignment="1">
      <alignment vertical="top"/>
    </xf>
    <xf numFmtId="164" fontId="14" fillId="0" borderId="0" xfId="2" applyNumberFormat="1">
      <alignment vertical="top" wrapText="1"/>
    </xf>
    <xf numFmtId="0" fontId="4" fillId="0" borderId="0" xfId="0" applyFont="1"/>
    <xf numFmtId="6" fontId="0" fillId="0" borderId="0" xfId="0" applyNumberFormat="1"/>
    <xf numFmtId="0" fontId="25" fillId="0" borderId="0" xfId="0" applyFont="1"/>
    <xf numFmtId="0" fontId="5" fillId="0" borderId="0" xfId="0" applyFont="1"/>
    <xf numFmtId="0" fontId="28" fillId="0" borderId="0" xfId="0" applyFont="1"/>
    <xf numFmtId="0" fontId="27" fillId="0" borderId="0" xfId="0" applyFont="1"/>
    <xf numFmtId="0" fontId="0" fillId="0" borderId="0" xfId="0" applyAlignment="1">
      <alignment horizontal="right" wrapText="1"/>
    </xf>
    <xf numFmtId="170" fontId="4" fillId="0" borderId="0" xfId="0" applyNumberFormat="1" applyFont="1"/>
    <xf numFmtId="0" fontId="29" fillId="0" borderId="0" xfId="0" applyFont="1"/>
    <xf numFmtId="170" fontId="27" fillId="0" borderId="0" xfId="0" applyNumberFormat="1" applyFont="1"/>
    <xf numFmtId="0" fontId="0" fillId="0" borderId="1" xfId="0" applyBorder="1"/>
    <xf numFmtId="0" fontId="0" fillId="0" borderId="0" xfId="0" applyAlignment="1">
      <alignment horizontal="center"/>
    </xf>
    <xf numFmtId="2" fontId="27" fillId="0" borderId="0" xfId="0" applyNumberFormat="1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1" fontId="25" fillId="4" borderId="13" xfId="0" applyNumberFormat="1" applyFont="1" applyFill="1" applyBorder="1"/>
    <xf numFmtId="0" fontId="14" fillId="4" borderId="11" xfId="4" applyFont="1" applyFill="1" applyBorder="1">
      <alignment vertical="top" wrapText="1"/>
    </xf>
    <xf numFmtId="164" fontId="32" fillId="4" borderId="14" xfId="4" applyNumberFormat="1" applyFont="1" applyFill="1" applyBorder="1">
      <alignment vertical="top" wrapText="1"/>
    </xf>
    <xf numFmtId="3" fontId="18" fillId="0" borderId="6" xfId="5" applyNumberFormat="1" applyFont="1" applyFill="1" applyBorder="1" applyAlignment="1"/>
    <xf numFmtId="164" fontId="22" fillId="0" borderId="0" xfId="2" applyNumberFormat="1" applyFont="1">
      <alignment vertical="top" wrapText="1"/>
    </xf>
    <xf numFmtId="0" fontId="14" fillId="0" borderId="0" xfId="2" applyFill="1">
      <alignment vertical="top" wrapText="1"/>
    </xf>
    <xf numFmtId="0" fontId="3" fillId="0" borderId="0" xfId="7" applyAlignment="1">
      <alignment horizontal="left"/>
    </xf>
    <xf numFmtId="0" fontId="37" fillId="0" borderId="0" xfId="7" applyFont="1" applyAlignment="1">
      <alignment horizontal="left"/>
    </xf>
    <xf numFmtId="0" fontId="38" fillId="0" borderId="0" xfId="7" applyFont="1" applyAlignment="1">
      <alignment horizontal="left"/>
    </xf>
    <xf numFmtId="0" fontId="39" fillId="0" borderId="0" xfId="7" applyFont="1"/>
    <xf numFmtId="166" fontId="14" fillId="0" borderId="0" xfId="2" applyNumberFormat="1">
      <alignment vertical="top" wrapText="1"/>
    </xf>
    <xf numFmtId="0" fontId="14" fillId="0" borderId="0" xfId="2" applyNumberFormat="1" applyAlignment="1">
      <alignment vertical="top"/>
    </xf>
    <xf numFmtId="0" fontId="2" fillId="0" borderId="0" xfId="8"/>
    <xf numFmtId="44" fontId="0" fillId="0" borderId="0" xfId="9" applyFont="1"/>
    <xf numFmtId="0" fontId="4" fillId="0" borderId="0" xfId="8" applyFont="1"/>
    <xf numFmtId="8" fontId="2" fillId="0" borderId="0" xfId="8" applyNumberFormat="1"/>
    <xf numFmtId="0" fontId="36" fillId="0" borderId="0" xfId="8" applyFont="1"/>
    <xf numFmtId="0" fontId="5" fillId="0" borderId="0" xfId="8" applyFont="1"/>
    <xf numFmtId="0" fontId="11" fillId="0" borderId="0" xfId="8" applyFont="1"/>
    <xf numFmtId="0" fontId="10" fillId="0" borderId="0" xfId="8" applyFont="1"/>
    <xf numFmtId="0" fontId="13" fillId="0" borderId="0" xfId="8" applyFont="1" applyAlignment="1">
      <alignment vertical="center"/>
    </xf>
    <xf numFmtId="165" fontId="10" fillId="0" borderId="0" xfId="8" applyNumberFormat="1" applyFont="1"/>
    <xf numFmtId="172" fontId="5" fillId="0" borderId="0" xfId="9" applyNumberFormat="1" applyFont="1"/>
    <xf numFmtId="6" fontId="2" fillId="0" borderId="0" xfId="8" applyNumberFormat="1"/>
    <xf numFmtId="6" fontId="7" fillId="0" borderId="0" xfId="9" applyNumberFormat="1" applyFont="1" applyFill="1" applyBorder="1" applyAlignment="1">
      <alignment horizontal="center" vertical="center"/>
    </xf>
    <xf numFmtId="0" fontId="5" fillId="0" borderId="0" xfId="8" applyFont="1" applyAlignment="1">
      <alignment vertical="center"/>
    </xf>
    <xf numFmtId="49" fontId="9" fillId="0" borderId="0" xfId="8" applyNumberFormat="1" applyFont="1" applyAlignment="1">
      <alignment horizontal="left" vertical="center"/>
    </xf>
    <xf numFmtId="49" fontId="8" fillId="0" borderId="0" xfId="8" applyNumberFormat="1" applyFont="1" applyAlignment="1">
      <alignment horizontal="left" vertical="center"/>
    </xf>
    <xf numFmtId="0" fontId="45" fillId="0" borderId="0" xfId="8" applyFont="1"/>
    <xf numFmtId="6" fontId="49" fillId="0" borderId="2" xfId="8" quotePrefix="1" applyNumberFormat="1" applyFont="1" applyBorder="1" applyAlignment="1">
      <alignment horizontal="center" vertical="center"/>
    </xf>
    <xf numFmtId="6" fontId="45" fillId="0" borderId="2" xfId="8" quotePrefix="1" applyNumberFormat="1" applyFont="1" applyBorder="1" applyAlignment="1">
      <alignment horizontal="center" vertical="center"/>
    </xf>
    <xf numFmtId="6" fontId="48" fillId="0" borderId="1" xfId="9" applyNumberFormat="1" applyFont="1" applyFill="1" applyBorder="1" applyAlignment="1">
      <alignment horizontal="center" vertical="center"/>
    </xf>
    <xf numFmtId="6" fontId="48" fillId="0" borderId="15" xfId="9" applyNumberFormat="1" applyFont="1" applyFill="1" applyBorder="1" applyAlignment="1">
      <alignment horizontal="center" vertical="center"/>
    </xf>
    <xf numFmtId="1" fontId="45" fillId="0" borderId="0" xfId="9" applyNumberFormat="1" applyFont="1" applyFill="1" applyBorder="1" applyAlignment="1">
      <alignment horizontal="center" vertical="center"/>
    </xf>
    <xf numFmtId="6" fontId="45" fillId="0" borderId="2" xfId="0" quotePrefix="1" applyNumberFormat="1" applyFont="1" applyBorder="1" applyAlignment="1">
      <alignment horizontal="center" vertical="center"/>
    </xf>
    <xf numFmtId="1" fontId="48" fillId="0" borderId="7" xfId="9" applyNumberFormat="1" applyFont="1" applyFill="1" applyBorder="1" applyAlignment="1">
      <alignment horizontal="center" vertical="center"/>
    </xf>
    <xf numFmtId="6" fontId="48" fillId="0" borderId="7" xfId="8" quotePrefix="1" applyNumberFormat="1" applyFont="1" applyBorder="1" applyAlignment="1">
      <alignment horizontal="center" vertical="center"/>
    </xf>
    <xf numFmtId="0" fontId="47" fillId="0" borderId="0" xfId="8" applyFont="1" applyAlignment="1">
      <alignment horizontal="center" vertical="center"/>
    </xf>
    <xf numFmtId="6" fontId="45" fillId="0" borderId="0" xfId="8" quotePrefix="1" applyNumberFormat="1" applyFont="1" applyAlignment="1">
      <alignment horizontal="center" vertical="center"/>
    </xf>
    <xf numFmtId="6" fontId="50" fillId="0" borderId="0" xfId="9" applyNumberFormat="1" applyFont="1" applyFill="1" applyBorder="1" applyAlignment="1">
      <alignment horizontal="center" vertical="center"/>
    </xf>
    <xf numFmtId="6" fontId="48" fillId="0" borderId="0" xfId="9" applyNumberFormat="1" applyFont="1" applyFill="1" applyBorder="1" applyAlignment="1">
      <alignment horizontal="center" vertical="center"/>
    </xf>
    <xf numFmtId="1" fontId="47" fillId="0" borderId="0" xfId="9" applyNumberFormat="1" applyFont="1" applyFill="1" applyBorder="1" applyAlignment="1">
      <alignment horizontal="center" vertical="center"/>
    </xf>
    <xf numFmtId="6" fontId="49" fillId="0" borderId="0" xfId="8" quotePrefix="1" applyNumberFormat="1" applyFont="1" applyAlignment="1">
      <alignment horizontal="center" vertical="center"/>
    </xf>
    <xf numFmtId="6" fontId="51" fillId="0" borderId="0" xfId="9" applyNumberFormat="1" applyFont="1" applyFill="1" applyBorder="1" applyAlignment="1">
      <alignment horizontal="center" vertical="center"/>
    </xf>
    <xf numFmtId="0" fontId="45" fillId="0" borderId="0" xfId="8" applyFont="1" applyAlignment="1">
      <alignment horizontal="center" vertical="center"/>
    </xf>
    <xf numFmtId="6" fontId="47" fillId="0" borderId="0" xfId="8" applyNumberFormat="1" applyFont="1" applyAlignment="1">
      <alignment horizontal="center" vertical="center"/>
    </xf>
    <xf numFmtId="0" fontId="46" fillId="9" borderId="4" xfId="8" applyFont="1" applyFill="1" applyBorder="1" applyAlignment="1">
      <alignment horizontal="center" vertical="center" wrapText="1"/>
    </xf>
    <xf numFmtId="6" fontId="52" fillId="0" borderId="0" xfId="9" applyNumberFormat="1" applyFont="1" applyFill="1" applyBorder="1" applyAlignment="1">
      <alignment horizontal="center" vertical="center"/>
    </xf>
    <xf numFmtId="0" fontId="46" fillId="7" borderId="4" xfId="8" applyFont="1" applyFill="1" applyBorder="1" applyAlignment="1">
      <alignment horizontal="center" vertical="center" wrapText="1"/>
    </xf>
    <xf numFmtId="8" fontId="45" fillId="0" borderId="0" xfId="8" applyNumberFormat="1" applyFont="1" applyAlignment="1">
      <alignment horizontal="center" vertical="center"/>
    </xf>
    <xf numFmtId="0" fontId="45" fillId="0" borderId="0" xfId="8" applyFont="1" applyAlignment="1">
      <alignment vertical="center"/>
    </xf>
    <xf numFmtId="6" fontId="47" fillId="9" borderId="5" xfId="8" applyNumberFormat="1" applyFont="1" applyFill="1" applyBorder="1" applyAlignment="1">
      <alignment horizontal="center" vertical="center"/>
    </xf>
    <xf numFmtId="6" fontId="47" fillId="7" borderId="5" xfId="8" applyNumberFormat="1" applyFont="1" applyFill="1" applyBorder="1" applyAlignment="1">
      <alignment horizontal="center" vertical="center"/>
    </xf>
    <xf numFmtId="49" fontId="53" fillId="0" borderId="0" xfId="8" applyNumberFormat="1" applyFont="1" applyAlignment="1">
      <alignment horizontal="left" vertical="center"/>
    </xf>
    <xf numFmtId="0" fontId="45" fillId="0" borderId="0" xfId="8" quotePrefix="1" applyFont="1" applyAlignment="1">
      <alignment horizontal="center" vertical="center"/>
    </xf>
    <xf numFmtId="49" fontId="54" fillId="0" borderId="0" xfId="8" applyNumberFormat="1" applyFont="1" applyAlignment="1">
      <alignment horizontal="left" vertical="center"/>
    </xf>
    <xf numFmtId="49" fontId="46" fillId="0" borderId="0" xfId="8" applyNumberFormat="1" applyFont="1" applyAlignment="1">
      <alignment horizontal="center" vertical="center"/>
    </xf>
    <xf numFmtId="9" fontId="49" fillId="0" borderId="0" xfId="8" applyNumberFormat="1" applyFont="1" applyAlignment="1">
      <alignment horizontal="center" vertical="center"/>
    </xf>
    <xf numFmtId="0" fontId="46" fillId="0" borderId="4" xfId="8" applyFont="1" applyBorder="1" applyAlignment="1">
      <alignment horizontal="center" vertical="center" wrapText="1"/>
    </xf>
    <xf numFmtId="49" fontId="52" fillId="0" borderId="0" xfId="8" applyNumberFormat="1" applyFont="1" applyAlignment="1">
      <alignment horizontal="left" vertical="center"/>
    </xf>
    <xf numFmtId="49" fontId="54" fillId="0" borderId="0" xfId="8" applyNumberFormat="1" applyFont="1" applyAlignment="1">
      <alignment horizontal="center" vertical="center"/>
    </xf>
    <xf numFmtId="0" fontId="49" fillId="0" borderId="0" xfId="8" applyFont="1" applyAlignment="1">
      <alignment horizontal="center" vertical="center"/>
    </xf>
    <xf numFmtId="2" fontId="47" fillId="0" borderId="5" xfId="8" applyNumberFormat="1" applyFont="1" applyBorder="1" applyAlignment="1">
      <alignment horizontal="center" vertical="center"/>
    </xf>
    <xf numFmtId="0" fontId="55" fillId="0" borderId="0" xfId="8" applyFont="1" applyAlignment="1">
      <alignment horizontal="left"/>
    </xf>
    <xf numFmtId="0" fontId="56" fillId="0" borderId="0" xfId="8" applyFont="1"/>
    <xf numFmtId="1" fontId="27" fillId="0" borderId="2" xfId="0" applyNumberFormat="1" applyFont="1" applyBorder="1"/>
    <xf numFmtId="0" fontId="5" fillId="0" borderId="1" xfId="8" applyFont="1" applyBorder="1"/>
    <xf numFmtId="172" fontId="5" fillId="0" borderId="0" xfId="9" applyNumberFormat="1" applyFont="1" applyBorder="1"/>
    <xf numFmtId="0" fontId="5" fillId="0" borderId="1" xfId="8" quotePrefix="1" applyFont="1" applyBorder="1"/>
    <xf numFmtId="0" fontId="2" fillId="0" borderId="1" xfId="8" applyBorder="1"/>
    <xf numFmtId="44" fontId="0" fillId="0" borderId="1" xfId="9" applyFont="1" applyBorder="1"/>
    <xf numFmtId="0" fontId="4" fillId="0" borderId="8" xfId="8" applyFont="1" applyBorder="1"/>
    <xf numFmtId="0" fontId="4" fillId="0" borderId="9" xfId="8" applyFont="1" applyBorder="1"/>
    <xf numFmtId="44" fontId="0" fillId="0" borderId="10" xfId="9" applyFont="1" applyBorder="1"/>
    <xf numFmtId="14" fontId="14" fillId="0" borderId="0" xfId="2" quotePrefix="1" applyNumberFormat="1">
      <alignment vertical="top" wrapText="1"/>
    </xf>
    <xf numFmtId="0" fontId="58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0" fontId="13" fillId="0" borderId="0" xfId="0" applyFont="1" applyAlignment="1">
      <alignment vertical="center"/>
    </xf>
    <xf numFmtId="165" fontId="10" fillId="0" borderId="0" xfId="0" applyNumberFormat="1" applyFont="1"/>
    <xf numFmtId="6" fontId="5" fillId="0" borderId="2" xfId="0" quotePrefix="1" applyNumberFormat="1" applyFont="1" applyBorder="1" applyAlignment="1">
      <alignment horizontal="center" vertical="center"/>
    </xf>
    <xf numFmtId="6" fontId="7" fillId="0" borderId="1" xfId="10" applyNumberFormat="1" applyFont="1" applyFill="1" applyBorder="1" applyAlignment="1">
      <alignment horizontal="center" vertical="center"/>
    </xf>
    <xf numFmtId="6" fontId="7" fillId="0" borderId="15" xfId="10" applyNumberFormat="1" applyFont="1" applyFill="1" applyBorder="1" applyAlignment="1">
      <alignment horizontal="center" vertical="center"/>
    </xf>
    <xf numFmtId="6" fontId="8" fillId="0" borderId="2" xfId="0" quotePrefix="1" applyNumberFormat="1" applyFont="1" applyBorder="1" applyAlignment="1">
      <alignment horizontal="center" vertical="center"/>
    </xf>
    <xf numFmtId="1" fontId="5" fillId="0" borderId="0" xfId="10" applyNumberFormat="1" applyFont="1" applyFill="1" applyBorder="1" applyAlignment="1">
      <alignment horizontal="center" vertical="center"/>
    </xf>
    <xf numFmtId="0" fontId="5" fillId="0" borderId="1" xfId="0" applyFont="1" applyBorder="1"/>
    <xf numFmtId="6" fontId="5" fillId="0" borderId="0" xfId="0" quotePrefix="1" applyNumberFormat="1" applyFont="1" applyAlignment="1">
      <alignment horizontal="center" vertical="center"/>
    </xf>
    <xf numFmtId="172" fontId="5" fillId="0" borderId="0" xfId="10" applyNumberFormat="1" applyFont="1" applyBorder="1"/>
    <xf numFmtId="0" fontId="5" fillId="0" borderId="0" xfId="0" quotePrefix="1" applyFont="1"/>
    <xf numFmtId="172" fontId="5" fillId="0" borderId="1" xfId="10" applyNumberFormat="1" applyFont="1" applyBorder="1"/>
    <xf numFmtId="44" fontId="5" fillId="0" borderId="0" xfId="10" applyFont="1" applyBorder="1"/>
    <xf numFmtId="0" fontId="5" fillId="0" borderId="8" xfId="0" applyFont="1" applyBorder="1"/>
    <xf numFmtId="0" fontId="5" fillId="0" borderId="9" xfId="0" applyFont="1" applyBorder="1"/>
    <xf numFmtId="172" fontId="5" fillId="0" borderId="10" xfId="10" applyNumberFormat="1" applyFont="1" applyBorder="1"/>
    <xf numFmtId="49" fontId="5" fillId="0" borderId="0" xfId="0" applyNumberFormat="1" applyFont="1"/>
    <xf numFmtId="1" fontId="5" fillId="0" borderId="7" xfId="10" applyNumberFormat="1" applyFont="1" applyFill="1" applyBorder="1" applyAlignment="1">
      <alignment horizontal="center" vertical="center"/>
    </xf>
    <xf numFmtId="6" fontId="5" fillId="0" borderId="7" xfId="0" quotePrefix="1" applyNumberFormat="1" applyFont="1" applyBorder="1" applyAlignment="1">
      <alignment horizontal="center" vertical="center"/>
    </xf>
    <xf numFmtId="6" fontId="5" fillId="0" borderId="0" xfId="0" applyNumberFormat="1" applyFont="1"/>
    <xf numFmtId="0" fontId="6" fillId="0" borderId="0" xfId="0" applyFont="1" applyAlignment="1">
      <alignment horizontal="center" vertical="center"/>
    </xf>
    <xf numFmtId="6" fontId="60" fillId="0" borderId="0" xfId="10" applyNumberFormat="1" applyFont="1" applyFill="1" applyBorder="1" applyAlignment="1">
      <alignment horizontal="center" vertical="center"/>
    </xf>
    <xf numFmtId="6" fontId="7" fillId="0" borderId="0" xfId="10" applyNumberFormat="1" applyFont="1" applyFill="1" applyBorder="1" applyAlignment="1">
      <alignment horizontal="center" vertical="center"/>
    </xf>
    <xf numFmtId="1" fontId="6" fillId="0" borderId="0" xfId="10" applyNumberFormat="1" applyFont="1" applyFill="1" applyBorder="1" applyAlignment="1">
      <alignment horizontal="center" vertical="center"/>
    </xf>
    <xf numFmtId="6" fontId="8" fillId="0" borderId="0" xfId="0" quotePrefix="1" applyNumberFormat="1" applyFont="1" applyAlignment="1">
      <alignment horizontal="center" vertical="center"/>
    </xf>
    <xf numFmtId="6" fontId="61" fillId="0" borderId="0" xfId="1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6" fontId="6" fillId="0" borderId="0" xfId="0" applyNumberFormat="1" applyFont="1" applyAlignment="1">
      <alignment horizontal="center" vertical="center"/>
    </xf>
    <xf numFmtId="0" fontId="59" fillId="9" borderId="4" xfId="0" applyFont="1" applyFill="1" applyBorder="1" applyAlignment="1">
      <alignment horizontal="center" vertical="center" wrapText="1"/>
    </xf>
    <xf numFmtId="6" fontId="62" fillId="0" borderId="0" xfId="10" applyNumberFormat="1" applyFont="1" applyFill="1" applyBorder="1" applyAlignment="1">
      <alignment horizontal="center" vertical="center"/>
    </xf>
    <xf numFmtId="0" fontId="59" fillId="7" borderId="4" xfId="0" applyFont="1" applyFill="1" applyBorder="1" applyAlignment="1">
      <alignment horizontal="center" vertical="center" wrapText="1"/>
    </xf>
    <xf numFmtId="8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6" fontId="6" fillId="9" borderId="5" xfId="0" applyNumberFormat="1" applyFont="1" applyFill="1" applyBorder="1" applyAlignment="1">
      <alignment horizontal="center" vertical="center"/>
    </xf>
    <xf numFmtId="6" fontId="6" fillId="7" borderId="5" xfId="0" applyNumberFormat="1" applyFont="1" applyFill="1" applyBorder="1" applyAlignment="1">
      <alignment horizontal="center" vertical="center"/>
    </xf>
    <xf numFmtId="49" fontId="63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59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49" fontId="62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4" borderId="11" xfId="5" applyFill="1" applyBorder="1">
      <alignment vertical="top" wrapText="1"/>
    </xf>
    <xf numFmtId="0" fontId="14" fillId="4" borderId="12" xfId="5" applyFill="1" applyBorder="1">
      <alignment vertical="top" wrapText="1"/>
    </xf>
    <xf numFmtId="164" fontId="32" fillId="4" borderId="14" xfId="5" applyNumberFormat="1" applyFont="1" applyFill="1" applyBorder="1">
      <alignment vertical="top" wrapText="1"/>
    </xf>
    <xf numFmtId="0" fontId="26" fillId="7" borderId="0" xfId="0" applyFont="1" applyFill="1"/>
    <xf numFmtId="0" fontId="5" fillId="7" borderId="0" xfId="0" applyFont="1" applyFill="1"/>
    <xf numFmtId="0" fontId="5" fillId="7" borderId="2" xfId="0" applyFont="1" applyFill="1" applyBorder="1"/>
    <xf numFmtId="9" fontId="26" fillId="7" borderId="0" xfId="6" applyFont="1" applyFill="1"/>
    <xf numFmtId="6" fontId="26" fillId="7" borderId="0" xfId="0" applyNumberFormat="1" applyFont="1" applyFill="1"/>
    <xf numFmtId="170" fontId="26" fillId="7" borderId="0" xfId="0" applyNumberFormat="1" applyFont="1" applyFill="1"/>
    <xf numFmtId="0" fontId="6" fillId="0" borderId="0" xfId="0" applyFont="1" applyAlignment="1">
      <alignment horizontal="left"/>
    </xf>
    <xf numFmtId="0" fontId="65" fillId="0" borderId="0" xfId="0" applyFont="1"/>
    <xf numFmtId="0" fontId="65" fillId="0" borderId="1" xfId="0" applyFont="1" applyBorder="1"/>
    <xf numFmtId="172" fontId="65" fillId="0" borderId="0" xfId="10" applyNumberFormat="1" applyFont="1" applyBorder="1"/>
    <xf numFmtId="0" fontId="65" fillId="0" borderId="1" xfId="0" quotePrefix="1" applyFont="1" applyBorder="1"/>
    <xf numFmtId="172" fontId="5" fillId="0" borderId="0" xfId="10" applyNumberFormat="1" applyFont="1"/>
    <xf numFmtId="6" fontId="65" fillId="0" borderId="0" xfId="0" applyNumberFormat="1" applyFont="1"/>
    <xf numFmtId="172" fontId="65" fillId="0" borderId="1" xfId="10" applyNumberFormat="1" applyFont="1" applyBorder="1"/>
    <xf numFmtId="0" fontId="65" fillId="0" borderId="8" xfId="0" applyFont="1" applyBorder="1"/>
    <xf numFmtId="0" fontId="65" fillId="0" borderId="9" xfId="0" applyFont="1" applyBorder="1"/>
    <xf numFmtId="172" fontId="65" fillId="0" borderId="10" xfId="10" applyNumberFormat="1" applyFont="1" applyBorder="1"/>
    <xf numFmtId="44" fontId="0" fillId="0" borderId="0" xfId="10" applyFont="1"/>
    <xf numFmtId="1" fontId="7" fillId="0" borderId="7" xfId="10" applyNumberFormat="1" applyFont="1" applyFill="1" applyBorder="1" applyAlignment="1">
      <alignment horizontal="center" vertical="center"/>
    </xf>
    <xf numFmtId="6" fontId="7" fillId="0" borderId="7" xfId="0" quotePrefix="1" applyNumberFormat="1" applyFont="1" applyBorder="1" applyAlignment="1">
      <alignment horizontal="center" vertical="center"/>
    </xf>
    <xf numFmtId="0" fontId="59" fillId="0" borderId="4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59" fillId="6" borderId="4" xfId="0" applyFont="1" applyFill="1" applyBorder="1" applyAlignment="1">
      <alignment horizontal="center" vertical="center" wrapText="1"/>
    </xf>
    <xf numFmtId="2" fontId="6" fillId="6" borderId="5" xfId="0" applyNumberFormat="1" applyFont="1" applyFill="1" applyBorder="1" applyAlignment="1">
      <alignment horizontal="center" vertical="center"/>
    </xf>
    <xf numFmtId="0" fontId="5" fillId="12" borderId="0" xfId="0" applyFont="1" applyFill="1"/>
    <xf numFmtId="172" fontId="34" fillId="0" borderId="0" xfId="10" applyNumberFormat="1" applyFont="1" applyAlignment="1">
      <alignment vertical="top" wrapText="1"/>
    </xf>
    <xf numFmtId="0" fontId="14" fillId="12" borderId="0" xfId="2" applyNumberFormat="1" applyFill="1">
      <alignment vertical="top" wrapText="1"/>
    </xf>
    <xf numFmtId="0" fontId="5" fillId="0" borderId="1" xfId="0" quotePrefix="1" applyFont="1" applyBorder="1"/>
    <xf numFmtId="44" fontId="5" fillId="0" borderId="1" xfId="10" applyFont="1" applyBorder="1"/>
    <xf numFmtId="44" fontId="5" fillId="0" borderId="10" xfId="10" applyFont="1" applyBorder="1"/>
    <xf numFmtId="0" fontId="5" fillId="0" borderId="0" xfId="0" applyFont="1" applyAlignment="1">
      <alignment horizontal="left"/>
    </xf>
    <xf numFmtId="0" fontId="6" fillId="0" borderId="0" xfId="0" applyFont="1"/>
    <xf numFmtId="173" fontId="5" fillId="0" borderId="1" xfId="11" applyNumberFormat="1" applyFont="1" applyBorder="1"/>
    <xf numFmtId="172" fontId="5" fillId="0" borderId="9" xfId="10" applyNumberFormat="1" applyFont="1" applyBorder="1"/>
    <xf numFmtId="172" fontId="66" fillId="0" borderId="2" xfId="10" quotePrefix="1" applyNumberFormat="1" applyFont="1" applyBorder="1" applyAlignment="1">
      <alignment vertical="top" wrapText="1"/>
    </xf>
    <xf numFmtId="0" fontId="58" fillId="0" borderId="0" xfId="8" applyFont="1" applyAlignment="1">
      <alignment horizontal="left"/>
    </xf>
    <xf numFmtId="44" fontId="5" fillId="0" borderId="0" xfId="8" applyNumberFormat="1" applyFont="1"/>
    <xf numFmtId="9" fontId="26" fillId="7" borderId="0" xfId="0" applyNumberFormat="1" applyFont="1" applyFill="1"/>
    <xf numFmtId="174" fontId="5" fillId="0" borderId="0" xfId="8" applyNumberFormat="1" applyFont="1"/>
    <xf numFmtId="0" fontId="14" fillId="13" borderId="0" xfId="2" applyFill="1">
      <alignment vertical="top" wrapText="1"/>
    </xf>
    <xf numFmtId="164" fontId="14" fillId="0" borderId="0" xfId="2" applyNumberFormat="1" applyFill="1" applyBorder="1">
      <alignment vertical="top" wrapText="1"/>
    </xf>
    <xf numFmtId="0" fontId="14" fillId="0" borderId="0" xfId="2" applyFill="1" applyBorder="1">
      <alignment vertical="top" wrapText="1"/>
    </xf>
    <xf numFmtId="0" fontId="14" fillId="0" borderId="0" xfId="2" applyNumberFormat="1" applyFill="1" applyBorder="1">
      <alignment vertical="top" wrapText="1"/>
    </xf>
    <xf numFmtId="3" fontId="26" fillId="7" borderId="0" xfId="0" applyNumberFormat="1" applyFont="1" applyFill="1"/>
    <xf numFmtId="9" fontId="26" fillId="7" borderId="0" xfId="6" applyFont="1" applyFill="1" applyBorder="1"/>
    <xf numFmtId="0" fontId="16" fillId="0" borderId="0" xfId="2" applyNumberFormat="1" applyFont="1" applyFill="1" applyBorder="1" applyAlignment="1"/>
    <xf numFmtId="44" fontId="17" fillId="0" borderId="0" xfId="3" applyFont="1" applyFill="1" applyBorder="1" applyAlignment="1"/>
    <xf numFmtId="0" fontId="16" fillId="12" borderId="0" xfId="2" applyNumberFormat="1" applyFont="1" applyFill="1" applyBorder="1" applyAlignment="1"/>
    <xf numFmtId="44" fontId="17" fillId="12" borderId="0" xfId="3" applyFont="1" applyFill="1" applyBorder="1" applyAlignment="1"/>
    <xf numFmtId="0" fontId="14" fillId="12" borderId="0" xfId="2" applyFill="1">
      <alignment vertical="top" wrapText="1"/>
    </xf>
    <xf numFmtId="0" fontId="1" fillId="0" borderId="0" xfId="8" applyFont="1"/>
    <xf numFmtId="16" fontId="1" fillId="0" borderId="0" xfId="8" quotePrefix="1" applyNumberFormat="1" applyFont="1"/>
    <xf numFmtId="0" fontId="1" fillId="0" borderId="0" xfId="8" quotePrefix="1" applyFont="1"/>
    <xf numFmtId="0" fontId="69" fillId="0" borderId="0" xfId="2" applyNumberFormat="1" applyFont="1" applyAlignment="1">
      <alignment vertical="top"/>
    </xf>
    <xf numFmtId="0" fontId="31" fillId="3" borderId="18" xfId="2" applyNumberFormat="1" applyFont="1" applyFill="1" applyBorder="1" applyAlignment="1"/>
    <xf numFmtId="0" fontId="14" fillId="0" borderId="0" xfId="2" applyBorder="1">
      <alignment vertical="top" wrapText="1"/>
    </xf>
    <xf numFmtId="164" fontId="5" fillId="0" borderId="0" xfId="0" applyNumberFormat="1" applyFont="1"/>
    <xf numFmtId="171" fontId="26" fillId="0" borderId="0" xfId="0" quotePrefix="1" applyNumberFormat="1" applyFont="1"/>
    <xf numFmtId="0" fontId="2" fillId="0" borderId="0" xfId="8" applyAlignment="1">
      <alignment horizontal="left"/>
    </xf>
    <xf numFmtId="164" fontId="34" fillId="9" borderId="21" xfId="3" applyNumberFormat="1" applyFont="1" applyFill="1" applyBorder="1" applyAlignment="1"/>
    <xf numFmtId="1" fontId="31" fillId="0" borderId="22" xfId="2" applyNumberFormat="1" applyFont="1" applyBorder="1" applyAlignment="1"/>
    <xf numFmtId="0" fontId="31" fillId="2" borderId="23" xfId="2" applyNumberFormat="1" applyFont="1" applyFill="1" applyBorder="1" applyAlignment="1">
      <alignment horizontal="center"/>
    </xf>
    <xf numFmtId="0" fontId="31" fillId="2" borderId="24" xfId="2" applyNumberFormat="1" applyFont="1" applyFill="1" applyBorder="1" applyAlignment="1">
      <alignment horizontal="center"/>
    </xf>
    <xf numFmtId="0" fontId="31" fillId="3" borderId="25" xfId="2" applyNumberFormat="1" applyFont="1" applyFill="1" applyBorder="1" applyAlignment="1"/>
    <xf numFmtId="164" fontId="34" fillId="0" borderId="26" xfId="3" applyNumberFormat="1" applyFont="1" applyBorder="1" applyAlignment="1"/>
    <xf numFmtId="0" fontId="31" fillId="2" borderId="27" xfId="2" applyNumberFormat="1" applyFont="1" applyFill="1" applyBorder="1" applyAlignment="1"/>
    <xf numFmtId="44" fontId="34" fillId="0" borderId="28" xfId="3" applyFont="1" applyBorder="1" applyAlignment="1"/>
    <xf numFmtId="2" fontId="31" fillId="9" borderId="29" xfId="2" applyNumberFormat="1" applyFont="1" applyFill="1" applyBorder="1" applyAlignment="1">
      <alignment horizontal="center"/>
    </xf>
    <xf numFmtId="2" fontId="16" fillId="0" borderId="0" xfId="2" applyNumberFormat="1" applyFont="1" applyFill="1" applyBorder="1" applyAlignment="1">
      <alignment horizontal="center"/>
    </xf>
    <xf numFmtId="2" fontId="16" fillId="12" borderId="0" xfId="2" applyNumberFormat="1" applyFont="1" applyFill="1" applyBorder="1" applyAlignment="1">
      <alignment horizontal="center"/>
    </xf>
    <xf numFmtId="1" fontId="16" fillId="0" borderId="30" xfId="2" applyNumberFormat="1" applyFont="1" applyBorder="1" applyAlignment="1"/>
    <xf numFmtId="0" fontId="16" fillId="2" borderId="23" xfId="2" applyNumberFormat="1" applyFont="1" applyFill="1" applyBorder="1" applyAlignment="1">
      <alignment horizontal="center"/>
    </xf>
    <xf numFmtId="0" fontId="16" fillId="2" borderId="31" xfId="2" applyNumberFormat="1" applyFont="1" applyFill="1" applyBorder="1" applyAlignment="1">
      <alignment horizontal="center"/>
    </xf>
    <xf numFmtId="0" fontId="16" fillId="3" borderId="32" xfId="2" applyNumberFormat="1" applyFont="1" applyFill="1" applyBorder="1" applyAlignment="1"/>
    <xf numFmtId="164" fontId="17" fillId="4" borderId="33" xfId="3" applyNumberFormat="1" applyFont="1" applyFill="1" applyBorder="1" applyAlignment="1"/>
    <xf numFmtId="164" fontId="17" fillId="0" borderId="34" xfId="3" applyNumberFormat="1" applyFont="1" applyBorder="1" applyAlignment="1"/>
    <xf numFmtId="0" fontId="16" fillId="2" borderId="35" xfId="2" applyNumberFormat="1" applyFont="1" applyFill="1" applyBorder="1" applyAlignment="1"/>
    <xf numFmtId="44" fontId="17" fillId="0" borderId="36" xfId="3" applyFont="1" applyBorder="1" applyAlignment="1"/>
    <xf numFmtId="2" fontId="16" fillId="4" borderId="37" xfId="2" applyNumberFormat="1" applyFont="1" applyFill="1" applyBorder="1" applyAlignment="1">
      <alignment horizontal="center"/>
    </xf>
    <xf numFmtId="1" fontId="16" fillId="0" borderId="30" xfId="2" applyNumberFormat="1" applyFont="1" applyBorder="1" applyAlignment="1">
      <alignment wrapText="1"/>
    </xf>
    <xf numFmtId="0" fontId="16" fillId="7" borderId="38" xfId="2" applyNumberFormat="1" applyFont="1" applyFill="1" applyBorder="1" applyAlignment="1">
      <alignment horizontal="center"/>
    </xf>
    <xf numFmtId="0" fontId="16" fillId="7" borderId="39" xfId="2" applyNumberFormat="1" applyFont="1" applyFill="1" applyBorder="1" applyAlignment="1">
      <alignment horizontal="center"/>
    </xf>
    <xf numFmtId="0" fontId="16" fillId="7" borderId="40" xfId="2" applyNumberFormat="1" applyFont="1" applyFill="1" applyBorder="1" applyAlignment="1">
      <alignment horizontal="center"/>
    </xf>
    <xf numFmtId="0" fontId="34" fillId="0" borderId="41" xfId="2" applyNumberFormat="1" applyFont="1" applyBorder="1" applyAlignment="1"/>
    <xf numFmtId="1" fontId="34" fillId="0" borderId="42" xfId="2" applyNumberFormat="1" applyFont="1" applyBorder="1" applyAlignment="1"/>
    <xf numFmtId="1" fontId="34" fillId="0" borderId="43" xfId="2" applyNumberFormat="1" applyFont="1" applyBorder="1" applyAlignment="1"/>
    <xf numFmtId="167" fontId="34" fillId="4" borderId="38" xfId="2" applyNumberFormat="1" applyFont="1" applyFill="1" applyBorder="1" applyAlignment="1"/>
    <xf numFmtId="0" fontId="47" fillId="7" borderId="44" xfId="8" applyFont="1" applyFill="1" applyBorder="1" applyAlignment="1" applyProtection="1">
      <alignment horizontal="center" vertical="center" wrapText="1"/>
      <protection locked="0"/>
    </xf>
    <xf numFmtId="0" fontId="5" fillId="0" borderId="45" xfId="8" applyFont="1" applyBorder="1"/>
    <xf numFmtId="0" fontId="46" fillId="9" borderId="44" xfId="8" quotePrefix="1" applyFont="1" applyFill="1" applyBorder="1" applyAlignment="1">
      <alignment horizontal="center" vertical="center" wrapText="1"/>
    </xf>
    <xf numFmtId="0" fontId="46" fillId="7" borderId="44" xfId="8" quotePrefix="1" applyFont="1" applyFill="1" applyBorder="1" applyAlignment="1">
      <alignment horizontal="center" vertical="center" wrapText="1"/>
    </xf>
    <xf numFmtId="0" fontId="6" fillId="7" borderId="44" xfId="0" applyFont="1" applyFill="1" applyBorder="1" applyAlignment="1" applyProtection="1">
      <alignment horizontal="center" vertical="center" wrapText="1"/>
      <protection locked="0"/>
    </xf>
    <xf numFmtId="0" fontId="5" fillId="0" borderId="45" xfId="0" applyFont="1" applyBorder="1"/>
    <xf numFmtId="0" fontId="59" fillId="9" borderId="44" xfId="0" quotePrefix="1" applyFont="1" applyFill="1" applyBorder="1" applyAlignment="1">
      <alignment horizontal="center" vertical="center" wrapText="1"/>
    </xf>
    <xf numFmtId="0" fontId="59" fillId="7" borderId="44" xfId="0" quotePrefix="1" applyFont="1" applyFill="1" applyBorder="1" applyAlignment="1">
      <alignment horizontal="center" vertical="center" wrapText="1"/>
    </xf>
    <xf numFmtId="0" fontId="65" fillId="0" borderId="45" xfId="0" applyFont="1" applyBorder="1"/>
    <xf numFmtId="0" fontId="14" fillId="0" borderId="0" xfId="4" applyFont="1">
      <alignment vertical="top" wrapText="1"/>
    </xf>
    <xf numFmtId="0" fontId="14" fillId="4" borderId="12" xfId="4" applyFont="1" applyFill="1" applyBorder="1">
      <alignment vertical="top" wrapText="1"/>
    </xf>
    <xf numFmtId="0" fontId="30" fillId="0" borderId="45" xfId="0" applyFont="1" applyBorder="1"/>
    <xf numFmtId="0" fontId="16" fillId="3" borderId="49" xfId="2" applyNumberFormat="1" applyFont="1" applyFill="1" applyBorder="1" applyAlignment="1"/>
    <xf numFmtId="164" fontId="17" fillId="4" borderId="50" xfId="3" applyNumberFormat="1" applyFont="1" applyFill="1" applyBorder="1" applyAlignment="1"/>
    <xf numFmtId="0" fontId="16" fillId="3" borderId="51" xfId="2" applyNumberFormat="1" applyFont="1" applyFill="1" applyBorder="1" applyAlignment="1"/>
    <xf numFmtId="164" fontId="17" fillId="6" borderId="52" xfId="3" applyNumberFormat="1" applyFont="1" applyFill="1" applyBorder="1" applyAlignment="1"/>
    <xf numFmtId="164" fontId="17" fillId="0" borderId="52" xfId="3" applyNumberFormat="1" applyFont="1" applyBorder="1" applyAlignment="1"/>
    <xf numFmtId="0" fontId="16" fillId="4" borderId="53" xfId="2" applyNumberFormat="1" applyFont="1" applyFill="1" applyBorder="1" applyAlignment="1"/>
    <xf numFmtId="0" fontId="14" fillId="0" borderId="54" xfId="2" applyBorder="1">
      <alignment vertical="top" wrapText="1"/>
    </xf>
    <xf numFmtId="164" fontId="17" fillId="0" borderId="55" xfId="3" applyNumberFormat="1" applyFont="1" applyBorder="1" applyAlignment="1"/>
    <xf numFmtId="164" fontId="17" fillId="4" borderId="56" xfId="3" applyNumberFormat="1" applyFont="1" applyFill="1" applyBorder="1" applyAlignment="1"/>
    <xf numFmtId="0" fontId="35" fillId="0" borderId="58" xfId="2" applyFont="1" applyBorder="1" applyAlignment="1"/>
    <xf numFmtId="167" fontId="34" fillId="0" borderId="58" xfId="2" applyNumberFormat="1" applyFont="1" applyBorder="1" applyAlignment="1">
      <alignment horizontal="left"/>
    </xf>
    <xf numFmtId="167" fontId="34" fillId="0" borderId="58" xfId="2" applyNumberFormat="1" applyFont="1" applyBorder="1" applyAlignment="1"/>
    <xf numFmtId="164" fontId="34" fillId="0" borderId="58" xfId="2" applyNumberFormat="1" applyFont="1" applyBorder="1" applyAlignment="1"/>
    <xf numFmtId="166" fontId="34" fillId="0" borderId="58" xfId="2" applyNumberFormat="1" applyFont="1" applyBorder="1" applyAlignment="1"/>
    <xf numFmtId="0" fontId="69" fillId="0" borderId="57" xfId="2" applyNumberFormat="1" applyFont="1" applyBorder="1" applyAlignment="1">
      <alignment vertical="top"/>
    </xf>
    <xf numFmtId="0" fontId="20" fillId="0" borderId="57" xfId="2" applyNumberFormat="1" applyFont="1" applyBorder="1" applyAlignment="1">
      <alignment vertical="top"/>
    </xf>
    <xf numFmtId="14" fontId="66" fillId="0" borderId="16" xfId="2" quotePrefix="1" applyNumberFormat="1" applyFont="1" applyBorder="1">
      <alignment vertical="top" wrapText="1"/>
    </xf>
    <xf numFmtId="172" fontId="66" fillId="0" borderId="48" xfId="10" quotePrefix="1" applyNumberFormat="1" applyFont="1" applyBorder="1" applyAlignment="1">
      <alignment vertical="top" wrapText="1"/>
    </xf>
    <xf numFmtId="172" fontId="66" fillId="0" borderId="48" xfId="2" quotePrefix="1" applyNumberFormat="1" applyFont="1" applyBorder="1">
      <alignment vertical="top" wrapText="1"/>
    </xf>
    <xf numFmtId="1" fontId="48" fillId="0" borderId="59" xfId="9" applyNumberFormat="1" applyFont="1" applyFill="1" applyBorder="1" applyAlignment="1">
      <alignment horizontal="center" vertical="center"/>
    </xf>
    <xf numFmtId="6" fontId="48" fillId="0" borderId="59" xfId="8" quotePrefix="1" applyNumberFormat="1" applyFont="1" applyBorder="1" applyAlignment="1">
      <alignment horizontal="center" vertical="center"/>
    </xf>
    <xf numFmtId="172" fontId="48" fillId="0" borderId="59" xfId="9" applyNumberFormat="1" applyFont="1" applyFill="1" applyBorder="1" applyAlignment="1">
      <alignment horizontal="center" vertical="center"/>
    </xf>
    <xf numFmtId="0" fontId="5" fillId="0" borderId="60" xfId="8" applyFont="1" applyBorder="1"/>
    <xf numFmtId="0" fontId="2" fillId="0" borderId="60" xfId="8" applyBorder="1"/>
    <xf numFmtId="0" fontId="4" fillId="0" borderId="60" xfId="8" applyFont="1" applyBorder="1"/>
    <xf numFmtId="0" fontId="44" fillId="0" borderId="60" xfId="8" applyFont="1" applyBorder="1" applyAlignment="1">
      <alignment wrapText="1"/>
    </xf>
    <xf numFmtId="164" fontId="48" fillId="0" borderId="59" xfId="8" quotePrefix="1" applyNumberFormat="1" applyFont="1" applyBorder="1" applyAlignment="1">
      <alignment horizontal="center" vertical="center"/>
    </xf>
    <xf numFmtId="6" fontId="48" fillId="0" borderId="59" xfId="9" applyNumberFormat="1" applyFont="1" applyFill="1" applyBorder="1" applyAlignment="1">
      <alignment horizontal="center" vertical="center"/>
    </xf>
    <xf numFmtId="1" fontId="50" fillId="0" borderId="59" xfId="9" applyNumberFormat="1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1" fontId="5" fillId="0" borderId="62" xfId="10" applyNumberFormat="1" applyFont="1" applyFill="1" applyBorder="1" applyAlignment="1">
      <alignment horizontal="center" vertical="center"/>
    </xf>
    <xf numFmtId="1" fontId="5" fillId="0" borderId="59" xfId="10" applyNumberFormat="1" applyFont="1" applyFill="1" applyBorder="1" applyAlignment="1">
      <alignment horizontal="center" vertical="center"/>
    </xf>
    <xf numFmtId="6" fontId="7" fillId="0" borderId="61" xfId="10" applyNumberFormat="1" applyFont="1" applyFill="1" applyBorder="1" applyAlignment="1">
      <alignment horizontal="center" vertical="center"/>
    </xf>
    <xf numFmtId="6" fontId="7" fillId="0" borderId="63" xfId="10" applyNumberFormat="1" applyFont="1" applyFill="1" applyBorder="1" applyAlignment="1">
      <alignment horizontal="center" vertical="center"/>
    </xf>
    <xf numFmtId="6" fontId="5" fillId="0" borderId="59" xfId="0" quotePrefix="1" applyNumberFormat="1" applyFont="1" applyBorder="1" applyAlignment="1">
      <alignment horizontal="center" vertical="center"/>
    </xf>
    <xf numFmtId="172" fontId="5" fillId="0" borderId="59" xfId="10" applyNumberFormat="1" applyFont="1" applyFill="1" applyBorder="1" applyAlignment="1">
      <alignment horizontal="center" vertical="center"/>
    </xf>
    <xf numFmtId="0" fontId="5" fillId="0" borderId="59" xfId="0" applyFont="1" applyBorder="1"/>
    <xf numFmtId="0" fontId="5" fillId="0" borderId="60" xfId="0" applyFont="1" applyBorder="1"/>
    <xf numFmtId="0" fontId="39" fillId="0" borderId="60" xfId="0" applyFont="1" applyBorder="1" applyAlignment="1">
      <alignment wrapText="1"/>
    </xf>
    <xf numFmtId="6" fontId="7" fillId="0" borderId="59" xfId="10" applyNumberFormat="1" applyFont="1" applyFill="1" applyBorder="1" applyAlignment="1">
      <alignment horizontal="center" vertical="center"/>
    </xf>
    <xf numFmtId="1" fontId="6" fillId="0" borderId="59" xfId="10" applyNumberFormat="1" applyFont="1" applyFill="1" applyBorder="1" applyAlignment="1">
      <alignment horizontal="center" vertical="center"/>
    </xf>
    <xf numFmtId="1" fontId="7" fillId="0" borderId="59" xfId="10" applyNumberFormat="1" applyFont="1" applyFill="1" applyBorder="1" applyAlignment="1">
      <alignment horizontal="center" vertical="center"/>
    </xf>
    <xf numFmtId="6" fontId="7" fillId="0" borderId="59" xfId="0" quotePrefix="1" applyNumberFormat="1" applyFont="1" applyBorder="1" applyAlignment="1">
      <alignment horizontal="center" vertical="center"/>
    </xf>
    <xf numFmtId="172" fontId="7" fillId="0" borderId="59" xfId="10" applyNumberFormat="1" applyFont="1" applyFill="1" applyBorder="1" applyAlignment="1">
      <alignment horizontal="center" vertical="center"/>
    </xf>
    <xf numFmtId="0" fontId="65" fillId="0" borderId="60" xfId="0" applyFont="1" applyBorder="1"/>
    <xf numFmtId="44" fontId="7" fillId="0" borderId="59" xfId="0" quotePrefix="1" applyNumberFormat="1" applyFont="1" applyBorder="1" applyAlignment="1">
      <alignment horizontal="center" vertical="center"/>
    </xf>
    <xf numFmtId="1" fontId="60" fillId="0" borderId="59" xfId="10" applyNumberFormat="1" applyFont="1" applyFill="1" applyBorder="1" applyAlignment="1">
      <alignment horizontal="center" vertical="center"/>
    </xf>
    <xf numFmtId="164" fontId="7" fillId="0" borderId="59" xfId="0" quotePrefix="1" applyNumberFormat="1" applyFont="1" applyBorder="1" applyAlignment="1">
      <alignment horizontal="center" vertical="center"/>
    </xf>
    <xf numFmtId="6" fontId="5" fillId="0" borderId="60" xfId="0" applyNumberFormat="1" applyFont="1" applyBorder="1"/>
    <xf numFmtId="164" fontId="48" fillId="0" borderId="59" xfId="9" applyNumberFormat="1" applyFont="1" applyFill="1" applyBorder="1" applyAlignment="1">
      <alignment horizontal="center" vertical="center"/>
    </xf>
    <xf numFmtId="0" fontId="44" fillId="0" borderId="60" xfId="8" applyFont="1" applyBorder="1" applyAlignment="1">
      <alignment wrapText="1" shrinkToFit="1"/>
    </xf>
    <xf numFmtId="44" fontId="48" fillId="0" borderId="59" xfId="8" quotePrefix="1" applyNumberFormat="1" applyFont="1" applyBorder="1" applyAlignment="1">
      <alignment horizontal="center" vertical="center"/>
    </xf>
    <xf numFmtId="0" fontId="26" fillId="7" borderId="62" xfId="0" applyFont="1" applyFill="1" applyBorder="1"/>
    <xf numFmtId="6" fontId="26" fillId="7" borderId="64" xfId="0" applyNumberFormat="1" applyFont="1" applyFill="1" applyBorder="1"/>
    <xf numFmtId="6" fontId="26" fillId="7" borderId="65" xfId="0" applyNumberFormat="1" applyFont="1" applyFill="1" applyBorder="1"/>
    <xf numFmtId="6" fontId="26" fillId="7" borderId="66" xfId="0" applyNumberFormat="1" applyFont="1" applyFill="1" applyBorder="1"/>
    <xf numFmtId="0" fontId="6" fillId="4" borderId="64" xfId="0" applyFont="1" applyFill="1" applyBorder="1"/>
    <xf numFmtId="0" fontId="6" fillId="4" borderId="65" xfId="0" applyFont="1" applyFill="1" applyBorder="1"/>
    <xf numFmtId="164" fontId="26" fillId="4" borderId="66" xfId="0" applyNumberFormat="1" applyFont="1" applyFill="1" applyBorder="1"/>
    <xf numFmtId="0" fontId="14" fillId="7" borderId="65" xfId="2" applyFill="1" applyBorder="1">
      <alignment vertical="top" wrapText="1"/>
    </xf>
    <xf numFmtId="164" fontId="14" fillId="7" borderId="65" xfId="2" applyNumberFormat="1" applyFill="1" applyBorder="1">
      <alignment vertical="top" wrapText="1"/>
    </xf>
    <xf numFmtId="0" fontId="5" fillId="7" borderId="65" xfId="0" applyFont="1" applyFill="1" applyBorder="1"/>
    <xf numFmtId="164" fontId="5" fillId="7" borderId="66" xfId="0" applyNumberFormat="1" applyFont="1" applyFill="1" applyBorder="1"/>
    <xf numFmtId="0" fontId="16" fillId="7" borderId="67" xfId="5" applyNumberFormat="1" applyFont="1" applyFill="1" applyBorder="1" applyAlignment="1">
      <alignment horizontal="center" wrapText="1"/>
    </xf>
    <xf numFmtId="0" fontId="14" fillId="14" borderId="65" xfId="2" applyFill="1" applyBorder="1">
      <alignment vertical="top" wrapText="1"/>
    </xf>
    <xf numFmtId="0" fontId="14" fillId="14" borderId="65" xfId="2" applyNumberFormat="1" applyFill="1" applyBorder="1">
      <alignment vertical="top" wrapText="1"/>
    </xf>
    <xf numFmtId="164" fontId="14" fillId="14" borderId="66" xfId="2" applyNumberFormat="1" applyFill="1" applyBorder="1">
      <alignment vertical="top" wrapText="1"/>
    </xf>
    <xf numFmtId="0" fontId="25" fillId="0" borderId="68" xfId="0" applyFont="1" applyBorder="1"/>
    <xf numFmtId="0" fontId="25" fillId="0" borderId="69" xfId="0" applyFont="1" applyBorder="1"/>
    <xf numFmtId="0" fontId="4" fillId="0" borderId="60" xfId="0" applyFont="1" applyBorder="1"/>
    <xf numFmtId="0" fontId="0" fillId="0" borderId="60" xfId="0" applyBorder="1"/>
    <xf numFmtId="0" fontId="4" fillId="0" borderId="70" xfId="0" applyFont="1" applyBorder="1"/>
    <xf numFmtId="0" fontId="4" fillId="0" borderId="62" xfId="0" applyFont="1" applyBorder="1"/>
    <xf numFmtId="164" fontId="34" fillId="9" borderId="67" xfId="3" applyNumberFormat="1" applyFont="1" applyFill="1" applyBorder="1" applyAlignment="1"/>
    <xf numFmtId="164" fontId="34" fillId="9" borderId="71" xfId="3" applyNumberFormat="1" applyFont="1" applyFill="1" applyBorder="1" applyAlignment="1"/>
    <xf numFmtId="0" fontId="31" fillId="3" borderId="72" xfId="2" applyNumberFormat="1" applyFont="1" applyFill="1" applyBorder="1" applyAlignment="1"/>
    <xf numFmtId="164" fontId="34" fillId="0" borderId="73" xfId="3" applyNumberFormat="1" applyFont="1" applyBorder="1" applyAlignment="1"/>
    <xf numFmtId="164" fontId="34" fillId="6" borderId="73" xfId="3" applyNumberFormat="1" applyFont="1" applyFill="1" applyBorder="1" applyAlignment="1"/>
    <xf numFmtId="0" fontId="31" fillId="9" borderId="74" xfId="2" applyNumberFormat="1" applyFont="1" applyFill="1" applyBorder="1" applyAlignment="1"/>
    <xf numFmtId="164" fontId="31" fillId="9" borderId="75" xfId="3" applyNumberFormat="1" applyFont="1" applyFill="1" applyBorder="1" applyAlignment="1"/>
    <xf numFmtId="164" fontId="31" fillId="9" borderId="76" xfId="3" applyNumberFormat="1" applyFont="1" applyFill="1" applyBorder="1" applyAlignment="1"/>
    <xf numFmtId="1" fontId="17" fillId="0" borderId="80" xfId="2" applyNumberFormat="1" applyFont="1" applyBorder="1" applyAlignment="1"/>
    <xf numFmtId="1" fontId="17" fillId="0" borderId="81" xfId="2" applyNumberFormat="1" applyFont="1" applyBorder="1" applyAlignment="1"/>
    <xf numFmtId="164" fontId="17" fillId="4" borderId="63" xfId="3" applyNumberFormat="1" applyFont="1" applyFill="1" applyBorder="1" applyAlignment="1"/>
    <xf numFmtId="164" fontId="16" fillId="4" borderId="75" xfId="3" applyNumberFormat="1" applyFont="1" applyFill="1" applyBorder="1" applyAlignment="1"/>
    <xf numFmtId="164" fontId="16" fillId="4" borderId="82" xfId="3" applyNumberFormat="1" applyFont="1" applyFill="1" applyBorder="1" applyAlignment="1"/>
    <xf numFmtId="1" fontId="17" fillId="0" borderId="83" xfId="2" applyNumberFormat="1" applyFont="1" applyBorder="1" applyAlignment="1"/>
    <xf numFmtId="0" fontId="16" fillId="3" borderId="84" xfId="2" applyNumberFormat="1" applyFont="1" applyFill="1" applyBorder="1" applyAlignment="1"/>
    <xf numFmtId="164" fontId="17" fillId="6" borderId="85" xfId="3" applyNumberFormat="1" applyFont="1" applyFill="1" applyBorder="1" applyAlignment="1"/>
    <xf numFmtId="164" fontId="17" fillId="4" borderId="86" xfId="3" applyNumberFormat="1" applyFont="1" applyFill="1" applyBorder="1" applyAlignment="1"/>
    <xf numFmtId="164" fontId="17" fillId="0" borderId="85" xfId="3" applyNumberFormat="1" applyFont="1" applyBorder="1" applyAlignment="1"/>
    <xf numFmtId="0" fontId="16" fillId="4" borderId="87" xfId="2" applyNumberFormat="1" applyFont="1" applyFill="1" applyBorder="1" applyAlignment="1"/>
    <xf numFmtId="0" fontId="16" fillId="7" borderId="91" xfId="2" applyNumberFormat="1" applyFont="1" applyFill="1" applyBorder="1" applyAlignment="1">
      <alignment horizontal="center"/>
    </xf>
    <xf numFmtId="0" fontId="35" fillId="0" borderId="91" xfId="2" applyFont="1" applyBorder="1" applyAlignment="1"/>
    <xf numFmtId="167" fontId="34" fillId="0" borderId="91" xfId="2" applyNumberFormat="1" applyFont="1" applyBorder="1" applyAlignment="1">
      <alignment horizontal="left"/>
    </xf>
    <xf numFmtId="167" fontId="34" fillId="0" borderId="91" xfId="2" applyNumberFormat="1" applyFont="1" applyBorder="1" applyAlignment="1"/>
    <xf numFmtId="0" fontId="34" fillId="0" borderId="92" xfId="2" applyNumberFormat="1" applyFont="1" applyBorder="1" applyAlignment="1"/>
    <xf numFmtId="164" fontId="34" fillId="0" borderId="91" xfId="2" applyNumberFormat="1" applyFont="1" applyBorder="1" applyAlignment="1">
      <alignment horizontal="right"/>
    </xf>
    <xf numFmtId="164" fontId="34" fillId="0" borderId="91" xfId="2" applyNumberFormat="1" applyFont="1" applyBorder="1" applyAlignment="1"/>
    <xf numFmtId="172" fontId="34" fillId="0" borderId="91" xfId="10" applyNumberFormat="1" applyFont="1" applyBorder="1" applyAlignment="1"/>
    <xf numFmtId="1" fontId="34" fillId="0" borderId="91" xfId="2" applyNumberFormat="1" applyFont="1" applyBorder="1" applyAlignment="1"/>
    <xf numFmtId="0" fontId="34" fillId="0" borderId="94" xfId="2" applyNumberFormat="1" applyFont="1" applyBorder="1" applyAlignment="1"/>
    <xf numFmtId="1" fontId="34" fillId="0" borderId="95" xfId="2" applyNumberFormat="1" applyFont="1" applyBorder="1" applyAlignment="1"/>
    <xf numFmtId="164" fontId="34" fillId="0" borderId="95" xfId="2" applyNumberFormat="1" applyFont="1" applyBorder="1" applyAlignment="1"/>
    <xf numFmtId="172" fontId="34" fillId="0" borderId="96" xfId="10" applyNumberFormat="1" applyFont="1" applyBorder="1" applyAlignment="1">
      <alignment vertical="top" wrapText="1"/>
    </xf>
    <xf numFmtId="164" fontId="34" fillId="0" borderId="97" xfId="2" applyNumberFormat="1" applyFont="1" applyBorder="1" applyAlignment="1"/>
    <xf numFmtId="0" fontId="67" fillId="0" borderId="77" xfId="2" applyNumberFormat="1" applyFont="1" applyBorder="1">
      <alignment vertical="top" wrapText="1"/>
    </xf>
    <xf numFmtId="172" fontId="66" fillId="0" borderId="79" xfId="10" applyNumberFormat="1" applyFont="1" applyBorder="1" applyAlignment="1">
      <alignment vertical="top" wrapText="1"/>
    </xf>
    <xf numFmtId="14" fontId="66" fillId="0" borderId="62" xfId="2" quotePrefix="1" applyNumberFormat="1" applyFont="1" applyBorder="1">
      <alignment vertical="top" wrapText="1"/>
    </xf>
    <xf numFmtId="0" fontId="14" fillId="0" borderId="98" xfId="2" applyNumberFormat="1" applyBorder="1">
      <alignment vertical="top" wrapText="1"/>
    </xf>
    <xf numFmtId="0" fontId="14" fillId="0" borderId="99" xfId="2" applyNumberFormat="1" applyBorder="1">
      <alignment vertical="top" wrapText="1"/>
    </xf>
    <xf numFmtId="167" fontId="14" fillId="4" borderId="100" xfId="2" applyNumberFormat="1" applyFill="1" applyBorder="1">
      <alignment vertical="top" wrapText="1"/>
    </xf>
    <xf numFmtId="0" fontId="47" fillId="10" borderId="73" xfId="8" applyFont="1" applyFill="1" applyBorder="1" applyAlignment="1">
      <alignment horizontal="center" vertical="center" wrapText="1"/>
    </xf>
    <xf numFmtId="0" fontId="47" fillId="10" borderId="98" xfId="8" applyFont="1" applyFill="1" applyBorder="1" applyAlignment="1">
      <alignment horizontal="center" vertical="center" wrapText="1"/>
    </xf>
    <xf numFmtId="0" fontId="47" fillId="9" borderId="101" xfId="8" applyFont="1" applyFill="1" applyBorder="1" applyAlignment="1" applyProtection="1">
      <alignment horizontal="center" vertical="center" wrapText="1"/>
      <protection locked="0"/>
    </xf>
    <xf numFmtId="0" fontId="47" fillId="9" borderId="100" xfId="8" applyFont="1" applyFill="1" applyBorder="1" applyAlignment="1">
      <alignment horizontal="center" vertical="center" wrapText="1"/>
    </xf>
    <xf numFmtId="0" fontId="47" fillId="9" borderId="73" xfId="8" applyFont="1" applyFill="1" applyBorder="1" applyAlignment="1">
      <alignment horizontal="center" vertical="center" wrapText="1"/>
    </xf>
    <xf numFmtId="0" fontId="47" fillId="9" borderId="102" xfId="8" applyFont="1" applyFill="1" applyBorder="1" applyAlignment="1" applyProtection="1">
      <alignment horizontal="center" vertical="center" wrapText="1"/>
      <protection locked="0"/>
    </xf>
    <xf numFmtId="0" fontId="47" fillId="7" borderId="101" xfId="8" applyFont="1" applyFill="1" applyBorder="1" applyAlignment="1" applyProtection="1">
      <alignment horizontal="center" vertical="center" wrapText="1"/>
      <protection locked="0"/>
    </xf>
    <xf numFmtId="0" fontId="47" fillId="7" borderId="100" xfId="8" applyFont="1" applyFill="1" applyBorder="1" applyAlignment="1" applyProtection="1">
      <alignment horizontal="center" vertical="center" wrapText="1"/>
      <protection locked="0"/>
    </xf>
    <xf numFmtId="0" fontId="47" fillId="7" borderId="103" xfId="8" applyFont="1" applyFill="1" applyBorder="1" applyAlignment="1" applyProtection="1">
      <alignment horizontal="center" vertical="center" wrapText="1"/>
      <protection locked="0"/>
    </xf>
    <xf numFmtId="0" fontId="45" fillId="0" borderId="61" xfId="8" applyFont="1" applyBorder="1" applyAlignment="1">
      <alignment horizontal="center" vertical="center"/>
    </xf>
    <xf numFmtId="1" fontId="45" fillId="0" borderId="62" xfId="9" applyNumberFormat="1" applyFont="1" applyFill="1" applyBorder="1" applyAlignment="1">
      <alignment horizontal="center" vertical="center"/>
    </xf>
    <xf numFmtId="6" fontId="48" fillId="0" borderId="61" xfId="9" applyNumberFormat="1" applyFont="1" applyFill="1" applyBorder="1" applyAlignment="1">
      <alignment horizontal="center" vertical="center"/>
    </xf>
    <xf numFmtId="6" fontId="48" fillId="0" borderId="63" xfId="9" applyNumberFormat="1" applyFont="1" applyFill="1" applyBorder="1" applyAlignment="1">
      <alignment horizontal="center" vertical="center"/>
    </xf>
    <xf numFmtId="0" fontId="5" fillId="0" borderId="68" xfId="8" applyFont="1" applyBorder="1"/>
    <xf numFmtId="0" fontId="5" fillId="0" borderId="69" xfId="8" applyFont="1" applyBorder="1"/>
    <xf numFmtId="0" fontId="45" fillId="0" borderId="104" xfId="8" applyFont="1" applyBorder="1" applyAlignment="1">
      <alignment horizontal="center" vertical="center"/>
    </xf>
    <xf numFmtId="1" fontId="45" fillId="0" borderId="105" xfId="9" applyNumberFormat="1" applyFont="1" applyFill="1" applyBorder="1" applyAlignment="1">
      <alignment horizontal="center" vertical="center"/>
    </xf>
    <xf numFmtId="6" fontId="45" fillId="0" borderId="104" xfId="0" quotePrefix="1" applyNumberFormat="1" applyFont="1" applyBorder="1" applyAlignment="1">
      <alignment horizontal="center" vertical="center"/>
    </xf>
    <xf numFmtId="6" fontId="48" fillId="0" borderId="104" xfId="9" applyNumberFormat="1" applyFont="1" applyFill="1" applyBorder="1" applyAlignment="1">
      <alignment horizontal="center" vertical="center"/>
    </xf>
    <xf numFmtId="6" fontId="48" fillId="0" borderId="106" xfId="9" applyNumberFormat="1" applyFont="1" applyFill="1" applyBorder="1" applyAlignment="1">
      <alignment horizontal="center" vertical="center"/>
    </xf>
    <xf numFmtId="6" fontId="45" fillId="0" borderId="104" xfId="8" quotePrefix="1" applyNumberFormat="1" applyFont="1" applyBorder="1" applyAlignment="1">
      <alignment horizontal="center" vertical="center"/>
    </xf>
    <xf numFmtId="6" fontId="48" fillId="0" borderId="105" xfId="9" applyNumberFormat="1" applyFont="1" applyFill="1" applyBorder="1" applyAlignment="1">
      <alignment horizontal="center" vertical="center"/>
    </xf>
    <xf numFmtId="1" fontId="45" fillId="0" borderId="78" xfId="9" applyNumberFormat="1" applyFont="1" applyFill="1" applyBorder="1" applyAlignment="1">
      <alignment horizontal="center" vertical="center"/>
    </xf>
    <xf numFmtId="0" fontId="6" fillId="10" borderId="73" xfId="0" applyFont="1" applyFill="1" applyBorder="1" applyAlignment="1">
      <alignment horizontal="center" vertical="center" wrapText="1"/>
    </xf>
    <xf numFmtId="0" fontId="6" fillId="10" borderId="98" xfId="0" applyFont="1" applyFill="1" applyBorder="1" applyAlignment="1">
      <alignment horizontal="center" vertical="center" wrapText="1"/>
    </xf>
    <xf numFmtId="0" fontId="6" fillId="9" borderId="101" xfId="0" applyFont="1" applyFill="1" applyBorder="1" applyAlignment="1" applyProtection="1">
      <alignment horizontal="center" vertical="center" wrapText="1"/>
      <protection locked="0"/>
    </xf>
    <xf numFmtId="0" fontId="6" fillId="9" borderId="100" xfId="0" applyFont="1" applyFill="1" applyBorder="1" applyAlignment="1">
      <alignment horizontal="center" vertical="center" wrapText="1"/>
    </xf>
    <xf numFmtId="0" fontId="6" fillId="9" borderId="73" xfId="0" applyFont="1" applyFill="1" applyBorder="1" applyAlignment="1">
      <alignment horizontal="center" vertical="center" wrapText="1"/>
    </xf>
    <xf numFmtId="0" fontId="6" fillId="9" borderId="102" xfId="0" applyFont="1" applyFill="1" applyBorder="1" applyAlignment="1" applyProtection="1">
      <alignment horizontal="center" vertical="center" wrapText="1"/>
      <protection locked="0"/>
    </xf>
    <xf numFmtId="0" fontId="6" fillId="7" borderId="101" xfId="0" applyFont="1" applyFill="1" applyBorder="1" applyAlignment="1" applyProtection="1">
      <alignment horizontal="center" vertical="center" wrapText="1"/>
      <protection locked="0"/>
    </xf>
    <xf numFmtId="0" fontId="6" fillId="7" borderId="100" xfId="0" applyFont="1" applyFill="1" applyBorder="1" applyAlignment="1" applyProtection="1">
      <alignment horizontal="center" vertical="center" wrapText="1"/>
      <protection locked="0"/>
    </xf>
    <xf numFmtId="0" fontId="6" fillId="7" borderId="103" xfId="0" applyFont="1" applyFill="1" applyBorder="1" applyAlignment="1" applyProtection="1">
      <alignment horizontal="center" vertical="center" wrapText="1"/>
      <protection locked="0"/>
    </xf>
    <xf numFmtId="0" fontId="5" fillId="0" borderId="68" xfId="0" applyFont="1" applyBorder="1"/>
    <xf numFmtId="0" fontId="5" fillId="0" borderId="69" xfId="0" applyFont="1" applyBorder="1"/>
    <xf numFmtId="0" fontId="5" fillId="0" borderId="104" xfId="0" applyFont="1" applyBorder="1" applyAlignment="1">
      <alignment horizontal="center" vertical="center"/>
    </xf>
    <xf numFmtId="1" fontId="5" fillId="0" borderId="105" xfId="10" applyNumberFormat="1" applyFont="1" applyFill="1" applyBorder="1" applyAlignment="1">
      <alignment horizontal="center" vertical="center"/>
    </xf>
    <xf numFmtId="6" fontId="5" fillId="0" borderId="107" xfId="0" quotePrefix="1" applyNumberFormat="1" applyFont="1" applyBorder="1" applyAlignment="1">
      <alignment horizontal="center" vertical="center"/>
    </xf>
    <xf numFmtId="6" fontId="7" fillId="0" borderId="104" xfId="10" applyNumberFormat="1" applyFont="1" applyFill="1" applyBorder="1" applyAlignment="1">
      <alignment horizontal="center" vertical="center"/>
    </xf>
    <xf numFmtId="6" fontId="7" fillId="0" borderId="106" xfId="10" applyNumberFormat="1" applyFont="1" applyFill="1" applyBorder="1" applyAlignment="1">
      <alignment horizontal="center" vertical="center"/>
    </xf>
    <xf numFmtId="6" fontId="5" fillId="0" borderId="104" xfId="0" quotePrefix="1" applyNumberFormat="1" applyFont="1" applyBorder="1" applyAlignment="1">
      <alignment horizontal="center" vertical="center"/>
    </xf>
    <xf numFmtId="6" fontId="7" fillId="0" borderId="105" xfId="10" applyNumberFormat="1" applyFont="1" applyFill="1" applyBorder="1" applyAlignment="1">
      <alignment horizontal="center" vertical="center"/>
    </xf>
    <xf numFmtId="1" fontId="5" fillId="0" borderId="78" xfId="10" applyNumberFormat="1" applyFont="1" applyFill="1" applyBorder="1" applyAlignment="1">
      <alignment horizontal="center" vertical="center"/>
    </xf>
    <xf numFmtId="0" fontId="65" fillId="0" borderId="68" xfId="0" applyFont="1" applyBorder="1"/>
    <xf numFmtId="0" fontId="65" fillId="0" borderId="69" xfId="0" applyFont="1" applyBorder="1"/>
    <xf numFmtId="6" fontId="8" fillId="0" borderId="104" xfId="0" quotePrefix="1" applyNumberFormat="1" applyFont="1" applyBorder="1" applyAlignment="1">
      <alignment horizontal="center" vertical="center"/>
    </xf>
    <xf numFmtId="0" fontId="45" fillId="0" borderId="50" xfId="0" applyFont="1" applyBorder="1"/>
    <xf numFmtId="0" fontId="5" fillId="0" borderId="107" xfId="0" applyFont="1" applyBorder="1" applyAlignment="1">
      <alignment horizontal="center"/>
    </xf>
    <xf numFmtId="0" fontId="5" fillId="0" borderId="105" xfId="0" applyFont="1" applyBorder="1" applyAlignment="1">
      <alignment horizontal="center"/>
    </xf>
    <xf numFmtId="0" fontId="5" fillId="0" borderId="50" xfId="0" applyFont="1" applyBorder="1"/>
    <xf numFmtId="0" fontId="5" fillId="0" borderId="107" xfId="0" applyFont="1" applyBorder="1"/>
    <xf numFmtId="173" fontId="5" fillId="0" borderId="105" xfId="11" applyNumberFormat="1" applyFont="1" applyBorder="1"/>
    <xf numFmtId="6" fontId="49" fillId="0" borderId="104" xfId="8" quotePrefix="1" applyNumberFormat="1" applyFont="1" applyBorder="1" applyAlignment="1">
      <alignment horizontal="center" vertical="center"/>
    </xf>
    <xf numFmtId="0" fontId="16" fillId="3" borderId="108" xfId="2" applyNumberFormat="1" applyFont="1" applyFill="1" applyBorder="1" applyAlignment="1">
      <alignment horizontal="center"/>
    </xf>
    <xf numFmtId="0" fontId="16" fillId="7" borderId="108" xfId="2" applyNumberFormat="1" applyFont="1" applyFill="1" applyBorder="1" applyAlignment="1">
      <alignment horizontal="center"/>
    </xf>
    <xf numFmtId="0" fontId="16" fillId="7" borderId="108" xfId="2" applyNumberFormat="1" applyFont="1" applyFill="1" applyBorder="1" applyAlignment="1">
      <alignment horizontal="center" wrapText="1"/>
    </xf>
    <xf numFmtId="0" fontId="16" fillId="7" borderId="95" xfId="2" applyNumberFormat="1" applyFont="1" applyFill="1" applyBorder="1" applyAlignment="1">
      <alignment horizontal="center" wrapText="1"/>
    </xf>
    <xf numFmtId="0" fontId="17" fillId="0" borderId="108" xfId="2" applyNumberFormat="1" applyFont="1" applyFill="1" applyBorder="1" applyAlignment="1"/>
    <xf numFmtId="0" fontId="18" fillId="0" borderId="109" xfId="2" applyFont="1" applyFill="1" applyBorder="1" applyAlignment="1"/>
    <xf numFmtId="1" fontId="25" fillId="0" borderId="73" xfId="0" applyNumberFormat="1" applyFont="1" applyBorder="1"/>
    <xf numFmtId="3" fontId="17" fillId="0" borderId="110" xfId="2" applyNumberFormat="1" applyFont="1" applyFill="1" applyBorder="1" applyAlignment="1"/>
    <xf numFmtId="4" fontId="17" fillId="0" borderId="108" xfId="2" applyNumberFormat="1" applyFont="1" applyFill="1" applyBorder="1" applyAlignment="1"/>
    <xf numFmtId="166" fontId="17" fillId="0" borderId="108" xfId="2" applyNumberFormat="1" applyFont="1" applyFill="1" applyBorder="1" applyAlignment="1"/>
    <xf numFmtId="164" fontId="17" fillId="0" borderId="108" xfId="2" applyNumberFormat="1" applyFont="1" applyFill="1" applyBorder="1" applyAlignment="1"/>
    <xf numFmtId="3" fontId="17" fillId="0" borderId="108" xfId="5" applyNumberFormat="1" applyFont="1" applyFill="1" applyBorder="1" applyAlignment="1"/>
    <xf numFmtId="3" fontId="17" fillId="0" borderId="108" xfId="2" applyNumberFormat="1" applyFont="1" applyFill="1" applyBorder="1" applyAlignment="1"/>
    <xf numFmtId="2" fontId="17" fillId="0" borderId="108" xfId="2" applyNumberFormat="1" applyFont="1" applyFill="1" applyBorder="1" applyAlignment="1"/>
    <xf numFmtId="169" fontId="17" fillId="0" borderId="108" xfId="2" applyNumberFormat="1" applyFont="1" applyFill="1" applyBorder="1" applyAlignment="1"/>
    <xf numFmtId="0" fontId="17" fillId="0" borderId="109" xfId="2" applyNumberFormat="1" applyFont="1" applyFill="1" applyBorder="1" applyAlignment="1"/>
    <xf numFmtId="0" fontId="18" fillId="0" borderId="108" xfId="2" applyFont="1" applyFill="1" applyBorder="1" applyAlignment="1"/>
    <xf numFmtId="164" fontId="19" fillId="4" borderId="108" xfId="2" applyNumberFormat="1" applyFont="1" applyFill="1" applyBorder="1" applyAlignment="1"/>
    <xf numFmtId="0" fontId="17" fillId="7" borderId="95" xfId="2" applyNumberFormat="1" applyFont="1" applyFill="1" applyBorder="1" applyAlignment="1">
      <alignment horizontal="center" wrapText="1"/>
    </xf>
    <xf numFmtId="0" fontId="14" fillId="14" borderId="99" xfId="2" applyFill="1" applyBorder="1">
      <alignment vertical="top" wrapText="1"/>
    </xf>
    <xf numFmtId="0" fontId="14" fillId="14" borderId="99" xfId="2" applyNumberFormat="1" applyFill="1" applyBorder="1">
      <alignment vertical="top" wrapText="1"/>
    </xf>
    <xf numFmtId="164" fontId="14" fillId="14" borderId="100" xfId="2" applyNumberFormat="1" applyFill="1" applyBorder="1">
      <alignment vertical="top" wrapText="1"/>
    </xf>
    <xf numFmtId="164" fontId="14" fillId="14" borderId="73" xfId="2" applyNumberFormat="1" applyFill="1" applyBorder="1">
      <alignment vertical="top" wrapText="1"/>
    </xf>
    <xf numFmtId="0" fontId="16" fillId="3" borderId="104" xfId="5" applyNumberFormat="1" applyFont="1" applyFill="1" applyBorder="1" applyAlignment="1">
      <alignment horizontal="center" wrapText="1"/>
    </xf>
    <xf numFmtId="0" fontId="16" fillId="7" borderId="67" xfId="5" applyNumberFormat="1" applyFont="1" applyFill="1" applyBorder="1" applyAlignment="1">
      <alignment horizontal="center"/>
    </xf>
    <xf numFmtId="0" fontId="18" fillId="0" borderId="67" xfId="5" applyFont="1" applyFill="1" applyBorder="1" applyAlignment="1"/>
    <xf numFmtId="0" fontId="18" fillId="0" borderId="108" xfId="5" applyFont="1" applyFill="1" applyBorder="1" applyAlignment="1"/>
    <xf numFmtId="164" fontId="17" fillId="0" borderId="67" xfId="5" applyNumberFormat="1" applyFont="1" applyFill="1" applyBorder="1" applyAlignment="1"/>
    <xf numFmtId="0" fontId="18" fillId="0" borderId="112" xfId="5" applyFont="1" applyFill="1" applyBorder="1" applyAlignment="1"/>
    <xf numFmtId="3" fontId="17" fillId="0" borderId="95" xfId="5" applyNumberFormat="1" applyFont="1" applyFill="1" applyBorder="1" applyAlignment="1"/>
    <xf numFmtId="164" fontId="16" fillId="4" borderId="67" xfId="5" applyNumberFormat="1" applyFont="1" applyFill="1" applyBorder="1" applyAlignment="1"/>
    <xf numFmtId="0" fontId="16" fillId="7" borderId="73" xfId="5" applyNumberFormat="1" applyFont="1" applyFill="1" applyBorder="1" applyAlignment="1">
      <alignment horizontal="center" wrapText="1"/>
    </xf>
    <xf numFmtId="0" fontId="16" fillId="7" borderId="73" xfId="5" applyNumberFormat="1" applyFont="1" applyFill="1" applyBorder="1" applyAlignment="1">
      <alignment horizontal="center"/>
    </xf>
    <xf numFmtId="0" fontId="18" fillId="0" borderId="73" xfId="5" applyFont="1" applyFill="1" applyBorder="1" applyAlignment="1"/>
    <xf numFmtId="0" fontId="15" fillId="0" borderId="116" xfId="2" applyFont="1" applyFill="1" applyBorder="1">
      <alignment vertical="top" wrapText="1"/>
    </xf>
    <xf numFmtId="0" fontId="15" fillId="0" borderId="117" xfId="2" applyFont="1" applyFill="1" applyBorder="1">
      <alignment vertical="top" wrapText="1"/>
    </xf>
    <xf numFmtId="0" fontId="26" fillId="7" borderId="73" xfId="0" applyFont="1" applyFill="1" applyBorder="1" applyAlignment="1">
      <alignment horizontal="center"/>
    </xf>
    <xf numFmtId="0" fontId="5" fillId="7" borderId="73" xfId="0" applyFont="1" applyFill="1" applyBorder="1" applyAlignment="1">
      <alignment horizontal="center"/>
    </xf>
    <xf numFmtId="0" fontId="26" fillId="7" borderId="118" xfId="0" applyFont="1" applyFill="1" applyBorder="1"/>
    <xf numFmtId="0" fontId="26" fillId="7" borderId="119" xfId="0" applyFont="1" applyFill="1" applyBorder="1"/>
    <xf numFmtId="0" fontId="5" fillId="7" borderId="120" xfId="0" applyFont="1" applyFill="1" applyBorder="1"/>
    <xf numFmtId="0" fontId="26" fillId="7" borderId="121" xfId="0" applyFont="1" applyFill="1" applyBorder="1"/>
    <xf numFmtId="0" fontId="26" fillId="7" borderId="107" xfId="0" applyFont="1" applyFill="1" applyBorder="1"/>
    <xf numFmtId="0" fontId="5" fillId="7" borderId="122" xfId="0" applyFont="1" applyFill="1" applyBorder="1"/>
    <xf numFmtId="0" fontId="26" fillId="7" borderId="73" xfId="0" applyFont="1" applyFill="1" applyBorder="1" applyAlignment="1">
      <alignment wrapText="1"/>
    </xf>
    <xf numFmtId="0" fontId="31" fillId="7" borderId="73" xfId="4" applyNumberFormat="1" applyFont="1" applyFill="1" applyBorder="1" applyAlignment="1">
      <alignment horizontal="center" wrapText="1"/>
    </xf>
    <xf numFmtId="0" fontId="40" fillId="11" borderId="123" xfId="2" applyFont="1" applyFill="1" applyBorder="1" applyAlignment="1">
      <alignment horizontal="center" wrapText="1"/>
    </xf>
    <xf numFmtId="0" fontId="16" fillId="7" borderId="123" xfId="2" applyNumberFormat="1" applyFont="1" applyFill="1" applyBorder="1" applyAlignment="1">
      <alignment horizontal="center" wrapText="1"/>
    </xf>
    <xf numFmtId="0" fontId="26" fillId="0" borderId="73" xfId="0" applyFont="1" applyBorder="1"/>
    <xf numFmtId="3" fontId="17" fillId="0" borderId="123" xfId="5" applyNumberFormat="1" applyFont="1" applyFill="1" applyBorder="1" applyAlignment="1"/>
    <xf numFmtId="4" fontId="16" fillId="0" borderId="123" xfId="2" applyNumberFormat="1" applyFont="1" applyFill="1" applyBorder="1" applyAlignment="1"/>
    <xf numFmtId="1" fontId="26" fillId="0" borderId="73" xfId="0" applyNumberFormat="1" applyFont="1" applyBorder="1"/>
    <xf numFmtId="171" fontId="26" fillId="0" borderId="73" xfId="0" applyNumberFormat="1" applyFont="1" applyBorder="1"/>
    <xf numFmtId="6" fontId="26" fillId="0" borderId="73" xfId="0" applyNumberFormat="1" applyFont="1" applyBorder="1"/>
    <xf numFmtId="164" fontId="31" fillId="0" borderId="73" xfId="5" applyNumberFormat="1" applyFont="1" applyBorder="1" applyAlignment="1"/>
    <xf numFmtId="164" fontId="17" fillId="0" borderId="123" xfId="2" applyNumberFormat="1" applyFont="1" applyFill="1" applyBorder="1" applyAlignment="1"/>
    <xf numFmtId="4" fontId="16" fillId="0" borderId="123" xfId="5" applyNumberFormat="1" applyFont="1" applyBorder="1" applyAlignment="1"/>
    <xf numFmtId="171" fontId="26" fillId="0" borderId="73" xfId="0" quotePrefix="1" applyNumberFormat="1" applyFont="1" applyBorder="1"/>
    <xf numFmtId="164" fontId="26" fillId="0" borderId="73" xfId="0" applyNumberFormat="1" applyFont="1" applyBorder="1"/>
    <xf numFmtId="4" fontId="16" fillId="0" borderId="124" xfId="5" applyNumberFormat="1" applyFont="1" applyBorder="1" applyAlignment="1"/>
    <xf numFmtId="164" fontId="19" fillId="4" borderId="123" xfId="2" applyNumberFormat="1" applyFont="1" applyFill="1" applyBorder="1" applyAlignment="1"/>
    <xf numFmtId="0" fontId="26" fillId="8" borderId="73" xfId="0" applyFont="1" applyFill="1" applyBorder="1" applyAlignment="1">
      <alignment horizontal="center"/>
    </xf>
    <xf numFmtId="0" fontId="5" fillId="8" borderId="73" xfId="0" applyFont="1" applyFill="1" applyBorder="1" applyAlignment="1">
      <alignment horizontal="center"/>
    </xf>
    <xf numFmtId="0" fontId="31" fillId="7" borderId="73" xfId="5" applyNumberFormat="1" applyFont="1" applyFill="1" applyBorder="1" applyAlignment="1">
      <alignment horizontal="center" wrapText="1"/>
    </xf>
    <xf numFmtId="1" fontId="64" fillId="0" borderId="73" xfId="0" applyNumberFormat="1" applyFont="1" applyBorder="1"/>
    <xf numFmtId="3" fontId="16" fillId="0" borderId="123" xfId="5" applyNumberFormat="1" applyFont="1" applyBorder="1" applyAlignment="1"/>
    <xf numFmtId="1" fontId="64" fillId="0" borderId="125" xfId="0" applyNumberFormat="1" applyFont="1" applyBorder="1"/>
    <xf numFmtId="3" fontId="16" fillId="0" borderId="124" xfId="5" applyNumberFormat="1" applyFont="1" applyBorder="1" applyAlignment="1"/>
    <xf numFmtId="4" fontId="17" fillId="0" borderId="123" xfId="2" applyNumberFormat="1" applyFont="1" applyFill="1" applyBorder="1" applyAlignment="1"/>
    <xf numFmtId="0" fontId="16" fillId="5" borderId="123" xfId="4" applyNumberFormat="1" applyFont="1" applyFill="1" applyBorder="1" applyAlignment="1">
      <alignment horizontal="center"/>
    </xf>
    <xf numFmtId="0" fontId="16" fillId="3" borderId="123" xfId="2" applyNumberFormat="1" applyFont="1" applyFill="1" applyBorder="1" applyAlignment="1">
      <alignment horizontal="center"/>
    </xf>
    <xf numFmtId="0" fontId="16" fillId="7" borderId="123" xfId="4" applyNumberFormat="1" applyFont="1" applyFill="1" applyBorder="1" applyAlignment="1">
      <alignment horizontal="center"/>
    </xf>
    <xf numFmtId="0" fontId="16" fillId="7" borderId="123" xfId="4" applyNumberFormat="1" applyFont="1" applyFill="1" applyBorder="1" applyAlignment="1">
      <alignment horizontal="center" wrapText="1"/>
    </xf>
    <xf numFmtId="0" fontId="16" fillId="7" borderId="126" xfId="4" applyNumberFormat="1" applyFont="1" applyFill="1" applyBorder="1" applyAlignment="1">
      <alignment horizontal="center" wrapText="1"/>
    </xf>
    <xf numFmtId="0" fontId="17" fillId="0" borderId="123" xfId="4" applyNumberFormat="1" applyFont="1" applyBorder="1" applyAlignment="1"/>
    <xf numFmtId="0" fontId="18" fillId="0" borderId="123" xfId="4" applyFont="1" applyFill="1" applyBorder="1" applyAlignment="1"/>
    <xf numFmtId="3" fontId="17" fillId="0" borderId="123" xfId="4" applyNumberFormat="1" applyFont="1" applyBorder="1" applyAlignment="1"/>
    <xf numFmtId="164" fontId="18" fillId="0" borderId="123" xfId="4" applyNumberFormat="1" applyFont="1" applyBorder="1" applyAlignment="1"/>
    <xf numFmtId="3" fontId="17" fillId="6" borderId="126" xfId="4" applyNumberFormat="1" applyFont="1" applyFill="1" applyBorder="1" applyAlignment="1"/>
    <xf numFmtId="164" fontId="17" fillId="0" borderId="123" xfId="4" applyNumberFormat="1" applyFont="1" applyBorder="1" applyAlignment="1"/>
    <xf numFmtId="2" fontId="17" fillId="0" borderId="123" xfId="2" applyNumberFormat="1" applyFont="1" applyFill="1" applyBorder="1" applyAlignment="1"/>
    <xf numFmtId="164" fontId="17" fillId="0" borderId="123" xfId="4" applyNumberFormat="1" applyFont="1" applyFill="1" applyBorder="1" applyAlignment="1"/>
    <xf numFmtId="0" fontId="17" fillId="0" borderId="124" xfId="4" applyNumberFormat="1" applyFont="1" applyBorder="1" applyAlignment="1"/>
    <xf numFmtId="0" fontId="18" fillId="0" borderId="124" xfId="4" applyFont="1" applyFill="1" applyBorder="1" applyAlignment="1"/>
    <xf numFmtId="3" fontId="17" fillId="0" borderId="124" xfId="4" applyNumberFormat="1" applyFont="1" applyBorder="1" applyAlignment="1"/>
    <xf numFmtId="3" fontId="17" fillId="6" borderId="112" xfId="4" applyNumberFormat="1" applyFont="1" applyFill="1" applyBorder="1" applyAlignment="1"/>
    <xf numFmtId="164" fontId="17" fillId="0" borderId="124" xfId="4" applyNumberFormat="1" applyFont="1" applyBorder="1" applyAlignment="1"/>
    <xf numFmtId="1" fontId="25" fillId="0" borderId="104" xfId="0" applyNumberFormat="1" applyFont="1" applyBorder="1"/>
    <xf numFmtId="0" fontId="16" fillId="5" borderId="123" xfId="5" applyNumberFormat="1" applyFont="1" applyFill="1" applyBorder="1" applyAlignment="1">
      <alignment horizontal="center"/>
    </xf>
    <xf numFmtId="0" fontId="16" fillId="7" borderId="123" xfId="5" applyNumberFormat="1" applyFont="1" applyFill="1" applyBorder="1" applyAlignment="1">
      <alignment horizontal="center"/>
    </xf>
    <xf numFmtId="0" fontId="16" fillId="7" borderId="123" xfId="5" applyNumberFormat="1" applyFont="1" applyFill="1" applyBorder="1" applyAlignment="1">
      <alignment horizontal="center" wrapText="1"/>
    </xf>
    <xf numFmtId="0" fontId="16" fillId="7" borderId="126" xfId="5" applyNumberFormat="1" applyFont="1" applyFill="1" applyBorder="1" applyAlignment="1">
      <alignment horizontal="center" wrapText="1"/>
    </xf>
    <xf numFmtId="0" fontId="17" fillId="0" borderId="123" xfId="5" applyNumberFormat="1" applyFont="1" applyBorder="1" applyAlignment="1"/>
    <xf numFmtId="0" fontId="18" fillId="0" borderId="123" xfId="5" applyFont="1" applyFill="1" applyBorder="1" applyAlignment="1"/>
    <xf numFmtId="3" fontId="17" fillId="0" borderId="123" xfId="5" applyNumberFormat="1" applyFont="1" applyBorder="1" applyAlignment="1"/>
    <xf numFmtId="164" fontId="18" fillId="0" borderId="123" xfId="5" applyNumberFormat="1" applyFont="1" applyBorder="1" applyAlignment="1"/>
    <xf numFmtId="3" fontId="17" fillId="6" borderId="126" xfId="5" applyNumberFormat="1" applyFont="1" applyFill="1" applyBorder="1" applyAlignment="1"/>
    <xf numFmtId="164" fontId="17" fillId="0" borderId="123" xfId="5" applyNumberFormat="1" applyFont="1" applyBorder="1" applyAlignment="1"/>
    <xf numFmtId="4" fontId="17" fillId="0" borderId="123" xfId="5" applyNumberFormat="1" applyFont="1" applyBorder="1" applyAlignment="1"/>
    <xf numFmtId="164" fontId="17" fillId="0" borderId="123" xfId="5" applyNumberFormat="1" applyFont="1" applyFill="1" applyBorder="1" applyAlignment="1"/>
    <xf numFmtId="0" fontId="17" fillId="0" borderId="124" xfId="5" applyNumberFormat="1" applyFont="1" applyBorder="1" applyAlignment="1"/>
    <xf numFmtId="0" fontId="18" fillId="0" borderId="124" xfId="5" applyFont="1" applyFill="1" applyBorder="1" applyAlignment="1"/>
    <xf numFmtId="1" fontId="25" fillId="0" borderId="125" xfId="0" applyNumberFormat="1" applyFont="1" applyBorder="1"/>
    <xf numFmtId="3" fontId="17" fillId="0" borderId="124" xfId="5" applyNumberFormat="1" applyFont="1" applyBorder="1" applyAlignment="1"/>
    <xf numFmtId="4" fontId="17" fillId="0" borderId="124" xfId="5" applyNumberFormat="1" applyFont="1" applyBorder="1" applyAlignment="1"/>
    <xf numFmtId="3" fontId="17" fillId="6" borderId="112" xfId="5" applyNumberFormat="1" applyFont="1" applyFill="1" applyBorder="1" applyAlignment="1"/>
    <xf numFmtId="164" fontId="17" fillId="0" borderId="124" xfId="5" applyNumberFormat="1" applyFont="1" applyBorder="1" applyAlignment="1"/>
    <xf numFmtId="2" fontId="27" fillId="0" borderId="130" xfId="0" applyNumberFormat="1" applyFont="1" applyBorder="1"/>
    <xf numFmtId="0" fontId="4" fillId="0" borderId="121" xfId="0" applyFont="1" applyBorder="1"/>
    <xf numFmtId="1" fontId="27" fillId="0" borderId="122" xfId="0" applyNumberFormat="1" applyFont="1" applyBorder="1"/>
    <xf numFmtId="0" fontId="15" fillId="4" borderId="64" xfId="2" applyFont="1" applyFill="1" applyBorder="1" applyAlignment="1">
      <alignment horizontal="center" vertical="top" wrapText="1"/>
    </xf>
    <xf numFmtId="0" fontId="15" fillId="4" borderId="65" xfId="2" applyFont="1" applyFill="1" applyBorder="1" applyAlignment="1">
      <alignment horizontal="center" vertical="top" wrapText="1"/>
    </xf>
    <xf numFmtId="0" fontId="15" fillId="4" borderId="66" xfId="2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23" fillId="4" borderId="88" xfId="0" applyFont="1" applyFill="1" applyBorder="1" applyAlignment="1">
      <alignment horizontal="center" vertical="center" wrapText="1"/>
    </xf>
    <xf numFmtId="0" fontId="23" fillId="4" borderId="89" xfId="0" applyFont="1" applyFill="1" applyBorder="1" applyAlignment="1">
      <alignment horizontal="center" vertical="center" wrapText="1"/>
    </xf>
    <xf numFmtId="0" fontId="23" fillId="4" borderId="90" xfId="0" applyFont="1" applyFill="1" applyBorder="1" applyAlignment="1">
      <alignment horizontal="center" vertical="center" wrapText="1"/>
    </xf>
    <xf numFmtId="0" fontId="70" fillId="9" borderId="19" xfId="0" applyFont="1" applyFill="1" applyBorder="1" applyAlignment="1">
      <alignment horizontal="center" vertical="center" wrapText="1"/>
    </xf>
    <xf numFmtId="0" fontId="70" fillId="9" borderId="0" xfId="0" applyFont="1" applyFill="1" applyAlignment="1">
      <alignment horizontal="center" vertical="center" wrapText="1"/>
    </xf>
    <xf numFmtId="0" fontId="70" fillId="9" borderId="20" xfId="0" applyFont="1" applyFill="1" applyBorder="1" applyAlignment="1">
      <alignment horizontal="center" vertical="center" wrapText="1"/>
    </xf>
    <xf numFmtId="0" fontId="23" fillId="4" borderId="77" xfId="0" applyFont="1" applyFill="1" applyBorder="1" applyAlignment="1">
      <alignment horizontal="center" vertical="center" wrapText="1"/>
    </xf>
    <xf numFmtId="0" fontId="23" fillId="4" borderId="78" xfId="0" applyFont="1" applyFill="1" applyBorder="1" applyAlignment="1">
      <alignment horizontal="center" vertical="center" wrapText="1"/>
    </xf>
    <xf numFmtId="0" fontId="23" fillId="4" borderId="79" xfId="0" applyFont="1" applyFill="1" applyBorder="1" applyAlignment="1">
      <alignment horizontal="center" vertical="center" wrapText="1"/>
    </xf>
    <xf numFmtId="0" fontId="69" fillId="0" borderId="17" xfId="2" applyNumberFormat="1" applyFont="1" applyBorder="1" applyAlignment="1">
      <alignment horizontal="center" vertical="top" wrapText="1"/>
    </xf>
    <xf numFmtId="0" fontId="69" fillId="0" borderId="57" xfId="2" applyNumberFormat="1" applyFont="1" applyBorder="1" applyAlignment="1">
      <alignment horizontal="center" vertical="top" wrapText="1"/>
    </xf>
    <xf numFmtId="14" fontId="14" fillId="0" borderId="93" xfId="2" quotePrefix="1" applyNumberFormat="1" applyBorder="1" applyAlignment="1">
      <alignment horizontal="center" vertical="top" wrapText="1"/>
    </xf>
    <xf numFmtId="14" fontId="14" fillId="0" borderId="0" xfId="2" quotePrefix="1" applyNumberFormat="1" applyAlignment="1">
      <alignment horizontal="center" vertical="top" wrapText="1"/>
    </xf>
    <xf numFmtId="14" fontId="14" fillId="0" borderId="0" xfId="2" quotePrefix="1" applyNumberFormat="1" applyBorder="1" applyAlignment="1">
      <alignment horizontal="center" vertical="top" wrapText="1"/>
    </xf>
    <xf numFmtId="0" fontId="55" fillId="0" borderId="0" xfId="8" applyFont="1" applyAlignment="1">
      <alignment horizontal="center" wrapText="1"/>
    </xf>
    <xf numFmtId="0" fontId="33" fillId="0" borderId="0" xfId="8" applyFont="1" applyAlignment="1">
      <alignment horizontal="left" wrapText="1"/>
    </xf>
    <xf numFmtId="0" fontId="46" fillId="9" borderId="3" xfId="8" applyFont="1" applyFill="1" applyBorder="1" applyAlignment="1">
      <alignment horizontal="center" vertical="center" wrapText="1"/>
    </xf>
    <xf numFmtId="0" fontId="46" fillId="9" borderId="46" xfId="8" applyFont="1" applyFill="1" applyBorder="1" applyAlignment="1">
      <alignment horizontal="center" vertical="center" wrapText="1"/>
    </xf>
    <xf numFmtId="0" fontId="46" fillId="9" borderId="47" xfId="8" applyFont="1" applyFill="1" applyBorder="1" applyAlignment="1">
      <alignment horizontal="center" vertical="center" wrapText="1"/>
    </xf>
    <xf numFmtId="0" fontId="46" fillId="7" borderId="3" xfId="8" applyFont="1" applyFill="1" applyBorder="1" applyAlignment="1">
      <alignment horizontal="center" vertical="center"/>
    </xf>
    <xf numFmtId="0" fontId="46" fillId="7" borderId="46" xfId="8" applyFont="1" applyFill="1" applyBorder="1" applyAlignment="1">
      <alignment horizontal="center" vertical="center"/>
    </xf>
    <xf numFmtId="0" fontId="46" fillId="7" borderId="47" xfId="8" applyFont="1" applyFill="1" applyBorder="1" applyAlignment="1">
      <alignment horizontal="center" vertical="center"/>
    </xf>
    <xf numFmtId="0" fontId="33" fillId="0" borderId="0" xfId="0" applyFont="1" applyAlignment="1">
      <alignment horizontal="left" wrapText="1"/>
    </xf>
    <xf numFmtId="0" fontId="59" fillId="9" borderId="3" xfId="0" applyFont="1" applyFill="1" applyBorder="1" applyAlignment="1">
      <alignment horizontal="center" vertical="center" wrapText="1"/>
    </xf>
    <xf numFmtId="0" fontId="59" fillId="9" borderId="46" xfId="0" applyFont="1" applyFill="1" applyBorder="1" applyAlignment="1">
      <alignment horizontal="center" vertical="center" wrapText="1"/>
    </xf>
    <xf numFmtId="0" fontId="59" fillId="9" borderId="47" xfId="0" applyFont="1" applyFill="1" applyBorder="1" applyAlignment="1">
      <alignment horizontal="center" vertical="center" wrapText="1"/>
    </xf>
    <xf numFmtId="0" fontId="59" fillId="7" borderId="3" xfId="0" applyFont="1" applyFill="1" applyBorder="1" applyAlignment="1">
      <alignment horizontal="center" vertical="center"/>
    </xf>
    <xf numFmtId="0" fontId="59" fillId="7" borderId="46" xfId="0" applyFont="1" applyFill="1" applyBorder="1" applyAlignment="1">
      <alignment horizontal="center" vertical="center"/>
    </xf>
    <xf numFmtId="0" fontId="59" fillId="7" borderId="47" xfId="0" applyFont="1" applyFill="1" applyBorder="1" applyAlignment="1">
      <alignment horizontal="center" vertical="center"/>
    </xf>
    <xf numFmtId="0" fontId="58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59" fillId="7" borderId="3" xfId="0" applyFont="1" applyFill="1" applyBorder="1" applyAlignment="1">
      <alignment horizontal="center" vertical="center" wrapText="1"/>
    </xf>
    <xf numFmtId="0" fontId="59" fillId="7" borderId="46" xfId="0" applyFont="1" applyFill="1" applyBorder="1" applyAlignment="1">
      <alignment horizontal="center" vertical="center" wrapText="1"/>
    </xf>
    <xf numFmtId="0" fontId="59" fillId="7" borderId="4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4" fillId="0" borderId="0" xfId="2" applyAlignment="1">
      <alignment horizontal="center" vertical="top" wrapText="1"/>
    </xf>
    <xf numFmtId="0" fontId="15" fillId="2" borderId="108" xfId="2" applyFont="1" applyFill="1" applyBorder="1" applyAlignment="1">
      <alignment horizontal="center" vertical="top" wrapText="1"/>
    </xf>
    <xf numFmtId="1" fontId="16" fillId="4" borderId="109" xfId="2" applyNumberFormat="1" applyFont="1" applyFill="1" applyBorder="1" applyAlignment="1"/>
    <xf numFmtId="1" fontId="16" fillId="4" borderId="111" xfId="2" applyNumberFormat="1" applyFont="1" applyFill="1" applyBorder="1" applyAlignment="1"/>
    <xf numFmtId="1" fontId="16" fillId="4" borderId="110" xfId="2" applyNumberFormat="1" applyFont="1" applyFill="1" applyBorder="1" applyAlignment="1"/>
    <xf numFmtId="0" fontId="14" fillId="14" borderId="98" xfId="2" applyFill="1" applyBorder="1" applyAlignment="1">
      <alignment horizontal="center" vertical="top" wrapText="1"/>
    </xf>
    <xf numFmtId="0" fontId="14" fillId="14" borderId="99" xfId="2" applyFill="1" applyBorder="1" applyAlignment="1">
      <alignment horizontal="center" vertical="top" wrapText="1"/>
    </xf>
    <xf numFmtId="0" fontId="15" fillId="2" borderId="98" xfId="5" applyNumberFormat="1" applyFont="1" applyFill="1" applyBorder="1" applyAlignment="1">
      <alignment horizontal="center" vertical="top" wrapText="1"/>
    </xf>
    <xf numFmtId="0" fontId="15" fillId="2" borderId="99" xfId="5" applyNumberFormat="1" applyFont="1" applyFill="1" applyBorder="1" applyAlignment="1">
      <alignment horizontal="center" vertical="top" wrapText="1"/>
    </xf>
    <xf numFmtId="0" fontId="15" fillId="2" borderId="100" xfId="5" applyNumberFormat="1" applyFont="1" applyFill="1" applyBorder="1" applyAlignment="1">
      <alignment horizontal="center" vertical="top" wrapText="1"/>
    </xf>
    <xf numFmtId="1" fontId="16" fillId="4" borderId="64" xfId="5" applyNumberFormat="1" applyFont="1" applyFill="1" applyBorder="1" applyAlignment="1"/>
    <xf numFmtId="1" fontId="16" fillId="4" borderId="65" xfId="5" applyNumberFormat="1" applyFont="1" applyFill="1" applyBorder="1" applyAlignment="1"/>
    <xf numFmtId="1" fontId="16" fillId="4" borderId="66" xfId="5" applyNumberFormat="1" applyFont="1" applyFill="1" applyBorder="1" applyAlignment="1"/>
    <xf numFmtId="0" fontId="14" fillId="14" borderId="64" xfId="2" applyFill="1" applyBorder="1" applyAlignment="1">
      <alignment horizontal="center" vertical="top" wrapText="1"/>
    </xf>
    <xf numFmtId="0" fontId="14" fillId="14" borderId="65" xfId="2" applyFill="1" applyBorder="1" applyAlignment="1">
      <alignment horizontal="center" vertical="top" wrapText="1"/>
    </xf>
    <xf numFmtId="0" fontId="15" fillId="2" borderId="113" xfId="2" applyFont="1" applyFill="1" applyBorder="1" applyAlignment="1">
      <alignment horizontal="center" vertical="top" wrapText="1"/>
    </xf>
    <xf numFmtId="0" fontId="15" fillId="2" borderId="114" xfId="2" applyFont="1" applyFill="1" applyBorder="1" applyAlignment="1">
      <alignment horizontal="center" vertical="top" wrapText="1"/>
    </xf>
    <xf numFmtId="0" fontId="14" fillId="7" borderId="64" xfId="2" applyFill="1" applyBorder="1" applyAlignment="1">
      <alignment horizontal="center" vertical="top" wrapText="1"/>
    </xf>
    <xf numFmtId="0" fontId="14" fillId="7" borderId="65" xfId="2" applyFill="1" applyBorder="1" applyAlignment="1">
      <alignment horizontal="center" vertical="top" wrapText="1"/>
    </xf>
    <xf numFmtId="0" fontId="15" fillId="2" borderId="115" xfId="2" applyFont="1" applyFill="1" applyBorder="1" applyAlignment="1">
      <alignment horizontal="center" vertical="top" wrapText="1"/>
    </xf>
    <xf numFmtId="0" fontId="15" fillId="2" borderId="123" xfId="2" applyFont="1" applyFill="1" applyBorder="1" applyAlignment="1">
      <alignment horizontal="center" vertical="top" wrapText="1"/>
    </xf>
    <xf numFmtId="0" fontId="15" fillId="2" borderId="127" xfId="2" applyFont="1" applyFill="1" applyBorder="1" applyAlignment="1">
      <alignment horizontal="center" vertical="top" wrapText="1"/>
    </xf>
    <xf numFmtId="0" fontId="15" fillId="2" borderId="128" xfId="2" applyFont="1" applyFill="1" applyBorder="1" applyAlignment="1">
      <alignment horizontal="center" vertical="top" wrapText="1"/>
    </xf>
    <xf numFmtId="0" fontId="15" fillId="2" borderId="129" xfId="2" applyFont="1" applyFill="1" applyBorder="1" applyAlignment="1">
      <alignment horizontal="center" vertical="top" wrapText="1"/>
    </xf>
  </cellXfs>
  <cellStyles count="12">
    <cellStyle name="Comma" xfId="11" builtinId="3"/>
    <cellStyle name="Currency" xfId="10" builtinId="4"/>
    <cellStyle name="Currency 2" xfId="3" xr:uid="{00000000-0005-0000-0000-000001000000}"/>
    <cellStyle name="Currency 3" xfId="9" xr:uid="{177B4079-A70B-4CFF-B237-689A8C3DA7A4}"/>
    <cellStyle name="Normal" xfId="0" builtinId="0"/>
    <cellStyle name="Normal 2" xfId="1" xr:uid="{00000000-0005-0000-0000-000003000000}"/>
    <cellStyle name="Normal 3" xfId="2" xr:uid="{00000000-0005-0000-0000-000004000000}"/>
    <cellStyle name="Normal 3 2" xfId="4" xr:uid="{00000000-0005-0000-0000-000005000000}"/>
    <cellStyle name="Normal 3 2 2" xfId="5" xr:uid="{00000000-0005-0000-0000-000006000000}"/>
    <cellStyle name="Normal 4" xfId="7" xr:uid="{5BFBCD08-3114-4D83-B435-D46DEC9633A2}"/>
    <cellStyle name="Normal 5" xfId="8" xr:uid="{BBD358C3-4356-4A8D-B370-D4EA3F9854E7}"/>
    <cellStyle name="Percent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8"/>
  <sheetViews>
    <sheetView tabSelected="1" zoomScaleNormal="100" workbookViewId="0">
      <selection activeCell="E7" sqref="E7"/>
    </sheetView>
  </sheetViews>
  <sheetFormatPr defaultColWidth="16" defaultRowHeight="16.2" x14ac:dyDescent="0.25"/>
  <cols>
    <col min="1" max="1" width="21.44140625" style="2" customWidth="1"/>
    <col min="2" max="3" width="20.6640625" style="2" customWidth="1"/>
    <col min="4" max="16384" width="16" style="2"/>
  </cols>
  <sheetData>
    <row r="2" spans="1:6" ht="30.75" customHeight="1" x14ac:dyDescent="0.25">
      <c r="A2" s="525" t="s">
        <v>0</v>
      </c>
      <c r="B2" s="526"/>
      <c r="C2" s="527"/>
    </row>
    <row r="3" spans="1:6" ht="15.75" customHeight="1" thickBot="1" x14ac:dyDescent="0.3">
      <c r="A3" s="532" t="s">
        <v>1</v>
      </c>
      <c r="B3" s="533"/>
      <c r="C3" s="534"/>
    </row>
    <row r="4" spans="1:6" ht="16.8" thickBot="1" x14ac:dyDescent="0.35">
      <c r="A4" s="212" t="s">
        <v>2</v>
      </c>
      <c r="B4" s="213" t="s">
        <v>3</v>
      </c>
      <c r="C4" s="214" t="s">
        <v>4</v>
      </c>
    </row>
    <row r="5" spans="1:6" x14ac:dyDescent="0.3">
      <c r="A5" s="215" t="s">
        <v>5</v>
      </c>
      <c r="B5" s="211">
        <f>SUM(B21,B35,B49,B63,B77,B91)</f>
        <v>45846401.185093626</v>
      </c>
      <c r="C5" s="216"/>
    </row>
    <row r="6" spans="1:6" x14ac:dyDescent="0.3">
      <c r="A6" s="206" t="s">
        <v>6</v>
      </c>
      <c r="B6" s="324">
        <f>SUM(B22,B36,B50,B64,B78,B92)</f>
        <v>1586056.2291614776</v>
      </c>
      <c r="C6" s="325">
        <f>SUM(C22,C36,C50,C64,C78,C92)</f>
        <v>2367917.1875820807</v>
      </c>
      <c r="F6" s="10"/>
    </row>
    <row r="7" spans="1:6" x14ac:dyDescent="0.3">
      <c r="A7" s="326" t="s">
        <v>7</v>
      </c>
      <c r="B7" s="327"/>
      <c r="C7" s="325">
        <f>SUM(C23,C37,C51,C65,C79,C93)</f>
        <v>1057128308.3845372</v>
      </c>
      <c r="D7" s="207"/>
      <c r="E7" s="32"/>
    </row>
    <row r="8" spans="1:6" x14ac:dyDescent="0.3">
      <c r="A8" s="326" t="s">
        <v>8</v>
      </c>
      <c r="B8" s="328"/>
      <c r="C8" s="325">
        <f>SUM(C24,C38,C52,C66,C80,C94)</f>
        <v>20450444.233854577</v>
      </c>
    </row>
    <row r="9" spans="1:6" x14ac:dyDescent="0.3">
      <c r="A9" s="326" t="s">
        <v>9</v>
      </c>
      <c r="B9" s="327"/>
      <c r="C9" s="325">
        <f>SUM(C25,C39,C53,C67,C81,C95)</f>
        <v>3660983.5297967861</v>
      </c>
    </row>
    <row r="10" spans="1:6" x14ac:dyDescent="0.3">
      <c r="A10" s="326" t="s">
        <v>10</v>
      </c>
      <c r="B10" s="327"/>
      <c r="C10" s="325">
        <f>SUM(C26,C40,C54,C68,C82,C96)</f>
        <v>100607451.44453995</v>
      </c>
    </row>
    <row r="11" spans="1:6" ht="16.8" thickBot="1" x14ac:dyDescent="0.35">
      <c r="A11" s="329" t="s">
        <v>11</v>
      </c>
      <c r="B11" s="330">
        <f>SUM(B5:B10)</f>
        <v>47432457.414255105</v>
      </c>
      <c r="C11" s="331">
        <f>SUM(C5:C10)</f>
        <v>1184215104.7803109</v>
      </c>
    </row>
    <row r="12" spans="1:6" ht="16.8" thickBot="1" x14ac:dyDescent="0.35">
      <c r="A12" s="217" t="s">
        <v>12</v>
      </c>
      <c r="B12" s="218"/>
      <c r="C12" s="219">
        <f>C11/B11</f>
        <v>24.966345185067578</v>
      </c>
    </row>
    <row r="13" spans="1:6" ht="16.8" thickTop="1" x14ac:dyDescent="0.3">
      <c r="A13" s="197"/>
      <c r="B13" s="198"/>
      <c r="C13" s="220"/>
    </row>
    <row r="14" spans="1:6" x14ac:dyDescent="0.3">
      <c r="A14" s="199"/>
      <c r="B14" s="200"/>
      <c r="C14" s="221"/>
      <c r="D14" s="201"/>
      <c r="E14" s="201"/>
    </row>
    <row r="15" spans="1:6" x14ac:dyDescent="0.3">
      <c r="A15" s="197"/>
      <c r="B15" s="198"/>
      <c r="C15" s="220"/>
    </row>
    <row r="16" spans="1:6" ht="25.5" customHeight="1" x14ac:dyDescent="0.3">
      <c r="A16" s="1" t="s">
        <v>13</v>
      </c>
    </row>
    <row r="17" spans="1:6" ht="16.8" x14ac:dyDescent="0.3">
      <c r="A17" s="1" t="s">
        <v>14</v>
      </c>
    </row>
    <row r="18" spans="1:6" ht="16.8" x14ac:dyDescent="0.3">
      <c r="A18" s="1"/>
    </row>
    <row r="19" spans="1:6" ht="16.8" thickBot="1" x14ac:dyDescent="0.3">
      <c r="A19" s="535" t="s">
        <v>1</v>
      </c>
      <c r="B19" s="536"/>
      <c r="C19" s="537"/>
    </row>
    <row r="20" spans="1:6" ht="16.8" thickBot="1" x14ac:dyDescent="0.35">
      <c r="A20" s="222" t="s">
        <v>15</v>
      </c>
      <c r="B20" s="223" t="s">
        <v>3</v>
      </c>
      <c r="C20" s="224" t="s">
        <v>4</v>
      </c>
      <c r="D20" s="332"/>
    </row>
    <row r="21" spans="1:6" x14ac:dyDescent="0.3">
      <c r="A21" s="225" t="s">
        <v>5</v>
      </c>
      <c r="B21" s="226">
        <f>+'Capital Costs'!E35</f>
        <v>7286137.8655743096</v>
      </c>
      <c r="C21" s="227"/>
      <c r="D21" s="333"/>
    </row>
    <row r="22" spans="1:6" x14ac:dyDescent="0.3">
      <c r="A22" s="251" t="s">
        <v>6</v>
      </c>
      <c r="B22" s="252">
        <f>+'M and O'!K47</f>
        <v>263823.23969964974</v>
      </c>
      <c r="C22" s="334">
        <f>+'M and O'!G47</f>
        <v>431635.47121135413</v>
      </c>
      <c r="D22" s="333"/>
      <c r="F22" s="10"/>
    </row>
    <row r="23" spans="1:6" x14ac:dyDescent="0.3">
      <c r="A23" s="253" t="s">
        <v>7</v>
      </c>
      <c r="B23" s="258"/>
      <c r="C23" s="259">
        <f>+'Travel Time Savings'!P36</f>
        <v>327791623.97086918</v>
      </c>
      <c r="D23" s="333"/>
      <c r="E23" s="10"/>
    </row>
    <row r="24" spans="1:6" x14ac:dyDescent="0.3">
      <c r="A24" s="253" t="s">
        <v>8</v>
      </c>
      <c r="B24" s="254"/>
      <c r="C24" s="259">
        <f>+Safety!K36</f>
        <v>-6831905.056033113</v>
      </c>
      <c r="D24" s="333"/>
    </row>
    <row r="25" spans="1:6" x14ac:dyDescent="0.3">
      <c r="A25" s="253" t="s">
        <v>9</v>
      </c>
      <c r="B25" s="255"/>
      <c r="C25" s="259">
        <f>+Emissions!R46</f>
        <v>-874085.3830209201</v>
      </c>
      <c r="D25" s="333"/>
    </row>
    <row r="26" spans="1:6" x14ac:dyDescent="0.3">
      <c r="A26" s="253" t="s">
        <v>10</v>
      </c>
      <c r="B26" s="255"/>
      <c r="C26" s="259">
        <f>+'Operating Costs'!N36</f>
        <v>-28982002.994262669</v>
      </c>
      <c r="D26" s="333"/>
    </row>
    <row r="27" spans="1:6" ht="16.8" thickBot="1" x14ac:dyDescent="0.35">
      <c r="A27" s="256" t="s">
        <v>11</v>
      </c>
      <c r="B27" s="335">
        <f>SUM(B21:B26)</f>
        <v>7549961.1052739592</v>
      </c>
      <c r="C27" s="336">
        <f>SUM(C21:C26)</f>
        <v>291535266.00876379</v>
      </c>
      <c r="D27" s="337"/>
    </row>
    <row r="28" spans="1:6" ht="16.8" thickBot="1" x14ac:dyDescent="0.35">
      <c r="A28" s="228" t="s">
        <v>12</v>
      </c>
      <c r="B28" s="229"/>
      <c r="C28" s="230">
        <f>C27/B27</f>
        <v>38.614141443075034</v>
      </c>
      <c r="D28" s="257"/>
    </row>
    <row r="30" spans="1:6" ht="16.8" x14ac:dyDescent="0.3">
      <c r="A30" s="1" t="s">
        <v>16</v>
      </c>
    </row>
    <row r="31" spans="1:6" ht="16.8" x14ac:dyDescent="0.3">
      <c r="A31" s="1" t="s">
        <v>14</v>
      </c>
    </row>
    <row r="32" spans="1:6" ht="16.8" x14ac:dyDescent="0.3">
      <c r="A32" s="1"/>
    </row>
    <row r="33" spans="1:3" ht="16.8" thickBot="1" x14ac:dyDescent="0.3">
      <c r="A33" s="535" t="s">
        <v>1</v>
      </c>
      <c r="B33" s="536"/>
      <c r="C33" s="537"/>
    </row>
    <row r="34" spans="1:3" ht="16.8" thickBot="1" x14ac:dyDescent="0.35">
      <c r="A34" s="222" t="s">
        <v>17</v>
      </c>
      <c r="B34" s="223" t="s">
        <v>3</v>
      </c>
      <c r="C34" s="224" t="s">
        <v>4</v>
      </c>
    </row>
    <row r="35" spans="1:3" x14ac:dyDescent="0.3">
      <c r="A35" s="225" t="s">
        <v>5</v>
      </c>
      <c r="B35" s="226">
        <f>+'Capital Costs'!J35</f>
        <v>2937817.6470553968</v>
      </c>
      <c r="C35" s="227"/>
    </row>
    <row r="36" spans="1:3" x14ac:dyDescent="0.3">
      <c r="A36" s="251" t="s">
        <v>6</v>
      </c>
      <c r="B36" s="252">
        <f>+'M and O'!K99</f>
        <v>78620.044436299897</v>
      </c>
      <c r="C36" s="334">
        <f>+'M and O'!G99</f>
        <v>158471.22000231073</v>
      </c>
    </row>
    <row r="37" spans="1:3" x14ac:dyDescent="0.3">
      <c r="A37" s="253" t="s">
        <v>7</v>
      </c>
      <c r="B37" s="258"/>
      <c r="C37" s="259">
        <f>+'Travel Time Savings'!P76</f>
        <v>18427986.770704385</v>
      </c>
    </row>
    <row r="38" spans="1:3" x14ac:dyDescent="0.3">
      <c r="A38" s="338" t="s">
        <v>8</v>
      </c>
      <c r="B38" s="339"/>
      <c r="C38" s="340">
        <f>+Safety!K73</f>
        <v>2162528.2342032013</v>
      </c>
    </row>
    <row r="39" spans="1:3" x14ac:dyDescent="0.3">
      <c r="A39" s="338" t="s">
        <v>9</v>
      </c>
      <c r="B39" s="341"/>
      <c r="C39" s="340">
        <f>+Emissions!R96</f>
        <v>368473.08663484536</v>
      </c>
    </row>
    <row r="40" spans="1:3" x14ac:dyDescent="0.3">
      <c r="A40" s="338" t="s">
        <v>10</v>
      </c>
      <c r="B40" s="255"/>
      <c r="C40" s="259">
        <f>+'Operating Costs'!N73</f>
        <v>9774549.7093489151</v>
      </c>
    </row>
    <row r="41" spans="1:3" ht="16.8" thickBot="1" x14ac:dyDescent="0.35">
      <c r="A41" s="342" t="s">
        <v>11</v>
      </c>
      <c r="B41" s="335">
        <f>SUM(B35:B40)</f>
        <v>3016437.6914916965</v>
      </c>
      <c r="C41" s="336">
        <f>SUM(C35:C40)</f>
        <v>30892009.020893656</v>
      </c>
    </row>
    <row r="42" spans="1:3" ht="16.8" thickBot="1" x14ac:dyDescent="0.35">
      <c r="A42" s="228" t="s">
        <v>12</v>
      </c>
      <c r="B42" s="229"/>
      <c r="C42" s="230">
        <f>C41/B41</f>
        <v>10.241222322618857</v>
      </c>
    </row>
    <row r="44" spans="1:3" x14ac:dyDescent="0.3">
      <c r="A44" s="157" t="s">
        <v>18</v>
      </c>
    </row>
    <row r="45" spans="1:3" ht="16.8" x14ac:dyDescent="0.3">
      <c r="A45" s="1" t="s">
        <v>14</v>
      </c>
    </row>
    <row r="46" spans="1:3" ht="16.8" x14ac:dyDescent="0.3">
      <c r="A46" s="1"/>
    </row>
    <row r="47" spans="1:3" ht="16.8" thickBot="1" x14ac:dyDescent="0.3">
      <c r="A47" s="529" t="s">
        <v>1</v>
      </c>
      <c r="B47" s="530"/>
      <c r="C47" s="531"/>
    </row>
    <row r="48" spans="1:3" ht="16.8" thickBot="1" x14ac:dyDescent="0.35">
      <c r="A48" s="222" t="s">
        <v>19</v>
      </c>
      <c r="B48" s="223" t="s">
        <v>3</v>
      </c>
      <c r="C48" s="224" t="s">
        <v>4</v>
      </c>
    </row>
    <row r="49" spans="1:5" x14ac:dyDescent="0.3">
      <c r="A49" s="225" t="s">
        <v>5</v>
      </c>
      <c r="B49" s="226">
        <f>+'Capital Costs'!O35</f>
        <v>3726583.5856684498</v>
      </c>
      <c r="C49" s="227"/>
    </row>
    <row r="50" spans="1:5" x14ac:dyDescent="0.3">
      <c r="A50" s="251" t="s">
        <v>6</v>
      </c>
      <c r="B50" s="252">
        <f>+'M and O'!K151</f>
        <v>155980.58691851923</v>
      </c>
      <c r="C50" s="334">
        <f>+'M and O'!G151</f>
        <v>239002.61564550677</v>
      </c>
    </row>
    <row r="51" spans="1:5" x14ac:dyDescent="0.3">
      <c r="A51" s="253" t="s">
        <v>7</v>
      </c>
      <c r="B51" s="258"/>
      <c r="C51" s="340">
        <f>+'Travel Time Savings'!P114</f>
        <v>21215695.282577462</v>
      </c>
    </row>
    <row r="52" spans="1:5" x14ac:dyDescent="0.3">
      <c r="A52" s="253" t="s">
        <v>8</v>
      </c>
      <c r="B52" s="339"/>
      <c r="C52" s="340">
        <f>+Safety!K110</f>
        <v>2973476.322029402</v>
      </c>
    </row>
    <row r="53" spans="1:5" x14ac:dyDescent="0.3">
      <c r="A53" s="253" t="s">
        <v>9</v>
      </c>
      <c r="B53" s="341"/>
      <c r="C53" s="340">
        <f>+Emissions!R143</f>
        <v>690241.69410654076</v>
      </c>
    </row>
    <row r="54" spans="1:5" x14ac:dyDescent="0.3">
      <c r="A54" s="253" t="s">
        <v>10</v>
      </c>
      <c r="B54" s="255"/>
      <c r="C54" s="259">
        <f>+'Operating Costs'!N110</f>
        <v>14640737.337493051</v>
      </c>
    </row>
    <row r="55" spans="1:5" ht="16.8" thickBot="1" x14ac:dyDescent="0.35">
      <c r="A55" s="342" t="s">
        <v>11</v>
      </c>
      <c r="B55" s="335">
        <f>SUM(B49:B54)</f>
        <v>3882564.1725869691</v>
      </c>
      <c r="C55" s="336">
        <f>SUM(C49:C54)</f>
        <v>39759153.251851961</v>
      </c>
    </row>
    <row r="56" spans="1:5" ht="16.8" thickBot="1" x14ac:dyDescent="0.35">
      <c r="A56" s="228" t="s">
        <v>12</v>
      </c>
      <c r="B56" s="229"/>
      <c r="C56" s="230">
        <f>C55/B55</f>
        <v>10.240436856800301</v>
      </c>
    </row>
    <row r="58" spans="1:5" ht="27.75" customHeight="1" x14ac:dyDescent="0.3">
      <c r="A58" s="528" t="s">
        <v>20</v>
      </c>
      <c r="B58" s="528"/>
      <c r="C58" s="528"/>
      <c r="D58" s="528"/>
      <c r="E58" s="528"/>
    </row>
    <row r="59" spans="1:5" ht="16.8" x14ac:dyDescent="0.3">
      <c r="A59" s="1" t="s">
        <v>14</v>
      </c>
    </row>
    <row r="60" spans="1:5" ht="16.8" x14ac:dyDescent="0.3">
      <c r="A60" s="1"/>
    </row>
    <row r="61" spans="1:5" ht="16.8" thickBot="1" x14ac:dyDescent="0.3">
      <c r="A61" s="529" t="s">
        <v>1</v>
      </c>
      <c r="B61" s="530"/>
      <c r="C61" s="531"/>
    </row>
    <row r="62" spans="1:5" ht="16.8" thickBot="1" x14ac:dyDescent="0.35">
      <c r="A62" s="222" t="s">
        <v>21</v>
      </c>
      <c r="B62" s="223" t="s">
        <v>3</v>
      </c>
      <c r="C62" s="224" t="s">
        <v>4</v>
      </c>
      <c r="D62" s="332"/>
    </row>
    <row r="63" spans="1:5" x14ac:dyDescent="0.3">
      <c r="A63" s="225" t="s">
        <v>5</v>
      </c>
      <c r="B63" s="226">
        <f>+'Capital Costs'!E76</f>
        <v>4062847.0961949602</v>
      </c>
      <c r="C63" s="227"/>
      <c r="D63" s="333"/>
    </row>
    <row r="64" spans="1:5" x14ac:dyDescent="0.3">
      <c r="A64" s="251" t="s">
        <v>6</v>
      </c>
      <c r="B64" s="252">
        <f>+'M and O'!K203</f>
        <v>177249.28222503493</v>
      </c>
      <c r="C64" s="334">
        <f>+'M and O'!G203</f>
        <v>248610.44165651209</v>
      </c>
      <c r="D64" s="333"/>
    </row>
    <row r="65" spans="1:5" x14ac:dyDescent="0.3">
      <c r="A65" s="338" t="s">
        <v>7</v>
      </c>
      <c r="B65" s="258"/>
      <c r="C65" s="340">
        <f>+'Travel Time Savings'!P151</f>
        <v>23425887.236282405</v>
      </c>
      <c r="D65" s="333"/>
      <c r="E65" s="10"/>
    </row>
    <row r="66" spans="1:5" x14ac:dyDescent="0.3">
      <c r="A66" s="338" t="s">
        <v>8</v>
      </c>
      <c r="B66" s="339"/>
      <c r="C66" s="340">
        <f>+Safety!K147</f>
        <v>1486738.161014701</v>
      </c>
      <c r="D66" s="333"/>
    </row>
    <row r="67" spans="1:5" x14ac:dyDescent="0.3">
      <c r="A67" s="338" t="s">
        <v>9</v>
      </c>
      <c r="B67" s="341"/>
      <c r="C67" s="340">
        <f>+Emissions!R190</f>
        <v>336243.13800377614</v>
      </c>
      <c r="D67" s="333"/>
    </row>
    <row r="68" spans="1:5" x14ac:dyDescent="0.3">
      <c r="A68" s="338" t="s">
        <v>10</v>
      </c>
      <c r="B68" s="255"/>
      <c r="C68" s="259">
        <f>+'Operating Costs'!N147</f>
        <v>14484066.390819231</v>
      </c>
      <c r="D68" s="333"/>
    </row>
    <row r="69" spans="1:5" ht="16.8" thickBot="1" x14ac:dyDescent="0.35">
      <c r="A69" s="342" t="s">
        <v>11</v>
      </c>
      <c r="B69" s="335">
        <f>SUM(B63:B68)</f>
        <v>4240096.3784199953</v>
      </c>
      <c r="C69" s="336">
        <f>SUM(C63:C68)</f>
        <v>39981545.367776625</v>
      </c>
      <c r="D69" s="337"/>
    </row>
    <row r="70" spans="1:5" ht="16.8" thickBot="1" x14ac:dyDescent="0.35">
      <c r="A70" s="228" t="s">
        <v>12</v>
      </c>
      <c r="B70" s="229"/>
      <c r="C70" s="230">
        <f>C69/B69</f>
        <v>9.4293954192322182</v>
      </c>
      <c r="D70" s="257"/>
    </row>
    <row r="72" spans="1:5" ht="48.75" customHeight="1" x14ac:dyDescent="0.3">
      <c r="A72" s="528" t="s">
        <v>22</v>
      </c>
      <c r="B72" s="528"/>
      <c r="C72" s="528"/>
      <c r="D72" s="528"/>
      <c r="E72" s="528"/>
    </row>
    <row r="73" spans="1:5" ht="16.8" x14ac:dyDescent="0.3">
      <c r="A73" s="1" t="s">
        <v>14</v>
      </c>
    </row>
    <row r="74" spans="1:5" ht="16.8" x14ac:dyDescent="0.3">
      <c r="A74" s="1"/>
    </row>
    <row r="75" spans="1:5" ht="16.8" thickBot="1" x14ac:dyDescent="0.3">
      <c r="A75" s="529" t="s">
        <v>1</v>
      </c>
      <c r="B75" s="530"/>
      <c r="C75" s="531"/>
    </row>
    <row r="76" spans="1:5" ht="43.8" thickBot="1" x14ac:dyDescent="0.35">
      <c r="A76" s="231" t="s">
        <v>23</v>
      </c>
      <c r="B76" s="223" t="s">
        <v>3</v>
      </c>
      <c r="C76" s="224" t="s">
        <v>4</v>
      </c>
      <c r="D76" s="332"/>
    </row>
    <row r="77" spans="1:5" x14ac:dyDescent="0.3">
      <c r="A77" s="225" t="s">
        <v>5</v>
      </c>
      <c r="B77" s="226">
        <f>+'Capital Costs'!J76</f>
        <v>15279903.08745775</v>
      </c>
      <c r="C77" s="227"/>
      <c r="D77" s="333"/>
    </row>
    <row r="78" spans="1:5" x14ac:dyDescent="0.3">
      <c r="A78" s="251" t="s">
        <v>6</v>
      </c>
      <c r="B78" s="252">
        <f>+'M and O'!K257</f>
        <v>602807.40563997743</v>
      </c>
      <c r="C78" s="334">
        <f>+'M and O'!G257</f>
        <v>810522.83780001616</v>
      </c>
      <c r="D78" s="333"/>
    </row>
    <row r="79" spans="1:5" x14ac:dyDescent="0.3">
      <c r="A79" s="338" t="s">
        <v>7</v>
      </c>
      <c r="B79" s="258"/>
      <c r="C79" s="340">
        <f>+'Travel Time Savings'!P188</f>
        <v>34294226.62912222</v>
      </c>
      <c r="D79" s="333"/>
      <c r="E79" s="10"/>
    </row>
    <row r="80" spans="1:5" x14ac:dyDescent="0.3">
      <c r="A80" s="338" t="s">
        <v>8</v>
      </c>
      <c r="B80" s="339"/>
      <c r="C80" s="340">
        <f>+Safety!K184</f>
        <v>11705688.091341967</v>
      </c>
      <c r="D80" s="333"/>
    </row>
    <row r="81" spans="1:4" x14ac:dyDescent="0.3">
      <c r="A81" s="338" t="s">
        <v>9</v>
      </c>
      <c r="B81" s="341"/>
      <c r="C81" s="340">
        <f>+Emissions!R237</f>
        <v>1994531.6569662106</v>
      </c>
      <c r="D81" s="333"/>
    </row>
    <row r="82" spans="1:4" x14ac:dyDescent="0.3">
      <c r="A82" s="338" t="s">
        <v>10</v>
      </c>
      <c r="B82" s="255"/>
      <c r="C82" s="259">
        <f>+'Operating Costs'!N184</f>
        <v>52704119.975982077</v>
      </c>
      <c r="D82" s="333"/>
    </row>
    <row r="83" spans="1:4" ht="16.8" thickBot="1" x14ac:dyDescent="0.35">
      <c r="A83" s="342" t="s">
        <v>11</v>
      </c>
      <c r="B83" s="335">
        <f>SUM(B77:B82)</f>
        <v>15882710.493097728</v>
      </c>
      <c r="C83" s="336">
        <f>SUM(C77:C82)</f>
        <v>101509089.19121249</v>
      </c>
      <c r="D83" s="337"/>
    </row>
    <row r="84" spans="1:4" ht="16.8" thickBot="1" x14ac:dyDescent="0.35">
      <c r="A84" s="228" t="s">
        <v>12</v>
      </c>
      <c r="B84" s="229"/>
      <c r="C84" s="230">
        <f>C83/B83</f>
        <v>6.3911691417737595</v>
      </c>
      <c r="D84" s="257"/>
    </row>
    <row r="86" spans="1:4" ht="16.8" x14ac:dyDescent="0.3">
      <c r="A86" s="1" t="s">
        <v>24</v>
      </c>
    </row>
    <row r="87" spans="1:4" ht="16.8" x14ac:dyDescent="0.3">
      <c r="A87" s="1" t="s">
        <v>14</v>
      </c>
    </row>
    <row r="88" spans="1:4" ht="16.8" x14ac:dyDescent="0.3">
      <c r="A88" s="1"/>
    </row>
    <row r="89" spans="1:4" ht="16.8" thickBot="1" x14ac:dyDescent="0.3">
      <c r="A89" s="529" t="s">
        <v>1</v>
      </c>
      <c r="B89" s="530"/>
      <c r="C89" s="531"/>
    </row>
    <row r="90" spans="1:4" ht="16.8" thickBot="1" x14ac:dyDescent="0.35">
      <c r="A90" s="222" t="s">
        <v>25</v>
      </c>
      <c r="B90" s="223" t="s">
        <v>3</v>
      </c>
      <c r="C90" s="224" t="s">
        <v>4</v>
      </c>
      <c r="D90" s="332"/>
    </row>
    <row r="91" spans="1:4" x14ac:dyDescent="0.3">
      <c r="A91" s="225" t="s">
        <v>5</v>
      </c>
      <c r="B91" s="226">
        <f>+'Capital Costs'!O76</f>
        <v>12553111.903142761</v>
      </c>
      <c r="C91" s="227"/>
      <c r="D91" s="333"/>
    </row>
    <row r="92" spans="1:4" x14ac:dyDescent="0.3">
      <c r="A92" s="251" t="s">
        <v>6</v>
      </c>
      <c r="B92" s="252">
        <f>+'M and O'!K309</f>
        <v>307575.6702419963</v>
      </c>
      <c r="C92" s="334">
        <f>+'M and O'!G309</f>
        <v>479674.60126638081</v>
      </c>
      <c r="D92" s="333"/>
    </row>
    <row r="93" spans="1:4" x14ac:dyDescent="0.3">
      <c r="A93" s="338" t="s">
        <v>7</v>
      </c>
      <c r="B93" s="258"/>
      <c r="C93" s="340">
        <f>+'Travel Time Savings'!P225</f>
        <v>631972888.49498165</v>
      </c>
      <c r="D93" s="333"/>
    </row>
    <row r="94" spans="1:4" x14ac:dyDescent="0.3">
      <c r="A94" s="338" t="s">
        <v>8</v>
      </c>
      <c r="B94" s="339"/>
      <c r="C94" s="340">
        <f>+Safety!K221</f>
        <v>8953918.4812984187</v>
      </c>
      <c r="D94" s="333"/>
    </row>
    <row r="95" spans="1:4" x14ac:dyDescent="0.3">
      <c r="A95" s="338" t="s">
        <v>9</v>
      </c>
      <c r="B95" s="341"/>
      <c r="C95" s="340">
        <f>+Emissions!R284</f>
        <v>1145579.3371063336</v>
      </c>
      <c r="D95" s="333"/>
    </row>
    <row r="96" spans="1:4" x14ac:dyDescent="0.3">
      <c r="A96" s="338" t="s">
        <v>10</v>
      </c>
      <c r="B96" s="255"/>
      <c r="C96" s="259">
        <f>+'Operating Costs'!N221</f>
        <v>37985981.025159344</v>
      </c>
      <c r="D96" s="333"/>
    </row>
    <row r="97" spans="1:4" ht="16.8" thickBot="1" x14ac:dyDescent="0.35">
      <c r="A97" s="342" t="s">
        <v>11</v>
      </c>
      <c r="B97" s="335">
        <f>SUM(B91:B96)</f>
        <v>12860687.573384758</v>
      </c>
      <c r="C97" s="336">
        <f>SUM(C91:C96)</f>
        <v>680538041.93981218</v>
      </c>
      <c r="D97" s="337"/>
    </row>
    <row r="98" spans="1:4" ht="16.8" thickBot="1" x14ac:dyDescent="0.35">
      <c r="A98" s="228" t="s">
        <v>12</v>
      </c>
      <c r="B98" s="229"/>
      <c r="C98" s="230">
        <f>C97/B97</f>
        <v>52.916147605372849</v>
      </c>
      <c r="D98" s="257"/>
    </row>
  </sheetData>
  <mergeCells count="10">
    <mergeCell ref="A2:C2"/>
    <mergeCell ref="A72:E72"/>
    <mergeCell ref="A75:C75"/>
    <mergeCell ref="A89:C89"/>
    <mergeCell ref="A3:C3"/>
    <mergeCell ref="A19:C19"/>
    <mergeCell ref="A33:C33"/>
    <mergeCell ref="A47:C47"/>
    <mergeCell ref="A58:E58"/>
    <mergeCell ref="A61:C61"/>
  </mergeCells>
  <pageMargins left="0.7" right="0.7" top="0.75" bottom="0.75" header="0.3" footer="0.3"/>
  <pageSetup scale="96" fitToHeight="0" orientation="portrait" horizontalDpi="1200" verticalDpi="1200" r:id="rId1"/>
  <rowBreaks count="2" manualBreakCount="2">
    <brk id="43" max="16383" man="1"/>
    <brk id="8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94E7-0604-4AD1-8505-C688CDE9BD38}">
  <dimension ref="A4:J13"/>
  <sheetViews>
    <sheetView workbookViewId="0">
      <selection activeCell="A2" sqref="A2"/>
    </sheetView>
  </sheetViews>
  <sheetFormatPr defaultColWidth="9.109375" defaultRowHeight="14.4" x14ac:dyDescent="0.3"/>
  <cols>
    <col min="1" max="1" width="16.5546875" style="39" customWidth="1"/>
    <col min="2" max="2" width="17.6640625" style="39" customWidth="1"/>
    <col min="3" max="3" width="13.88671875" style="39" customWidth="1"/>
    <col min="4" max="4" width="12.33203125" style="39" bestFit="1" customWidth="1"/>
    <col min="5" max="8" width="9.109375" style="39"/>
    <col min="9" max="9" width="16.88671875" style="39" customWidth="1"/>
    <col min="10" max="10" width="9.109375" style="40"/>
    <col min="11" max="16384" width="9.109375" style="39"/>
  </cols>
  <sheetData>
    <row r="4" spans="1:4" x14ac:dyDescent="0.3">
      <c r="A4" s="43" t="s">
        <v>332</v>
      </c>
      <c r="B4" s="43"/>
      <c r="C4" s="43"/>
      <c r="D4" s="43" t="s">
        <v>333</v>
      </c>
    </row>
    <row r="5" spans="1:4" x14ac:dyDescent="0.3">
      <c r="A5" s="39" t="s">
        <v>140</v>
      </c>
      <c r="C5" s="42"/>
      <c r="D5" s="202" t="s">
        <v>334</v>
      </c>
    </row>
    <row r="6" spans="1:4" x14ac:dyDescent="0.3">
      <c r="A6" s="202" t="s">
        <v>335</v>
      </c>
      <c r="B6" s="42"/>
      <c r="D6" s="203" t="s">
        <v>336</v>
      </c>
    </row>
    <row r="7" spans="1:4" x14ac:dyDescent="0.3">
      <c r="A7" s="41" t="s">
        <v>337</v>
      </c>
      <c r="C7" s="42"/>
      <c r="D7" s="204" t="s">
        <v>338</v>
      </c>
    </row>
    <row r="8" spans="1:4" x14ac:dyDescent="0.3">
      <c r="A8" s="39" t="s">
        <v>339</v>
      </c>
      <c r="B8" s="42"/>
      <c r="C8" s="42"/>
      <c r="D8" s="210">
        <v>25</v>
      </c>
    </row>
    <row r="9" spans="1:4" x14ac:dyDescent="0.3">
      <c r="A9" s="202" t="s">
        <v>340</v>
      </c>
      <c r="B9" s="42"/>
      <c r="D9" s="210">
        <v>15</v>
      </c>
    </row>
    <row r="10" spans="1:4" x14ac:dyDescent="0.3">
      <c r="C10" s="42"/>
    </row>
    <row r="11" spans="1:4" x14ac:dyDescent="0.3">
      <c r="B11" s="42"/>
      <c r="C11" s="42"/>
    </row>
    <row r="13" spans="1:4" x14ac:dyDescent="0.3">
      <c r="B13" s="41"/>
      <c r="C13" s="41"/>
      <c r="D13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H87"/>
  <sheetViews>
    <sheetView showGridLines="0" workbookViewId="0">
      <selection activeCell="I80" sqref="I80"/>
    </sheetView>
  </sheetViews>
  <sheetFormatPr defaultColWidth="9.44140625" defaultRowHeight="15" customHeight="1" x14ac:dyDescent="0.25"/>
  <cols>
    <col min="1" max="2" width="9.44140625" style="4" customWidth="1"/>
    <col min="3" max="3" width="13.5546875" style="4" customWidth="1"/>
    <col min="4" max="4" width="15.44140625" style="4" customWidth="1"/>
    <col min="5" max="5" width="14.88671875" style="4" customWidth="1"/>
    <col min="6" max="6" width="14" style="4" customWidth="1"/>
    <col min="7" max="7" width="9.44140625" style="4" customWidth="1"/>
    <col min="8" max="8" width="17.6640625" style="4" customWidth="1"/>
    <col min="9" max="10" width="15.6640625" style="4" customWidth="1"/>
    <col min="11" max="12" width="13" style="4" customWidth="1"/>
    <col min="13" max="13" width="13.33203125" style="4" customWidth="1"/>
    <col min="14" max="14" width="16" style="4" customWidth="1"/>
    <col min="15" max="15" width="17.6640625" style="4" customWidth="1"/>
    <col min="16" max="16" width="13.5546875" style="4" customWidth="1"/>
    <col min="17" max="242" width="9.44140625" style="4" customWidth="1"/>
    <col min="243" max="16384" width="9.44140625" style="2"/>
  </cols>
  <sheetData>
    <row r="1" spans="2:17" ht="15" customHeight="1" thickBot="1" x14ac:dyDescent="0.3">
      <c r="C1" s="205" t="s">
        <v>26</v>
      </c>
      <c r="H1" s="539" t="s">
        <v>27</v>
      </c>
      <c r="I1" s="539"/>
      <c r="M1" s="539" t="s">
        <v>28</v>
      </c>
      <c r="N1" s="539"/>
    </row>
    <row r="2" spans="2:17" s="4" customFormat="1" ht="15.75" customHeight="1" thickBot="1" x14ac:dyDescent="0.35">
      <c r="B2" s="232" t="s">
        <v>29</v>
      </c>
      <c r="C2" s="233" t="s">
        <v>30</v>
      </c>
      <c r="D2" s="233" t="s">
        <v>31</v>
      </c>
      <c r="E2" s="234" t="s">
        <v>32</v>
      </c>
      <c r="G2" s="232" t="s">
        <v>29</v>
      </c>
      <c r="H2" s="343" t="s">
        <v>30</v>
      </c>
      <c r="I2" s="343" t="s">
        <v>31</v>
      </c>
      <c r="J2" s="343" t="s">
        <v>32</v>
      </c>
      <c r="L2" s="232" t="s">
        <v>29</v>
      </c>
      <c r="M2" s="343" t="s">
        <v>30</v>
      </c>
      <c r="N2" s="343" t="s">
        <v>31</v>
      </c>
      <c r="O2" s="343" t="s">
        <v>32</v>
      </c>
    </row>
    <row r="3" spans="2:17" s="4" customFormat="1" ht="17.399999999999999" customHeight="1" x14ac:dyDescent="0.3">
      <c r="B3" s="235">
        <v>0</v>
      </c>
      <c r="C3" s="260">
        <v>2018</v>
      </c>
      <c r="D3" s="261"/>
      <c r="E3" s="262"/>
      <c r="G3" s="235">
        <v>0</v>
      </c>
      <c r="H3" s="344">
        <v>2018</v>
      </c>
      <c r="I3" s="345"/>
      <c r="J3" s="346"/>
      <c r="L3" s="235">
        <v>0</v>
      </c>
      <c r="M3" s="344">
        <v>2018</v>
      </c>
      <c r="N3" s="345"/>
      <c r="O3" s="346"/>
    </row>
    <row r="4" spans="2:17" s="4" customFormat="1" ht="17.100000000000001" customHeight="1" x14ac:dyDescent="0.3">
      <c r="B4" s="347">
        <v>1</v>
      </c>
      <c r="C4" s="344">
        <f>1+C3</f>
        <v>2019</v>
      </c>
      <c r="D4" s="263"/>
      <c r="E4" s="264"/>
      <c r="G4" s="347">
        <v>1</v>
      </c>
      <c r="H4" s="344">
        <f>1+H3</f>
        <v>2019</v>
      </c>
      <c r="I4" s="263"/>
      <c r="J4" s="264"/>
      <c r="L4" s="347">
        <v>1</v>
      </c>
      <c r="M4" s="344">
        <f>1+M3</f>
        <v>2019</v>
      </c>
      <c r="N4" s="263"/>
      <c r="O4" s="264"/>
    </row>
    <row r="5" spans="2:17" s="4" customFormat="1" ht="17.100000000000001" customHeight="1" x14ac:dyDescent="0.3">
      <c r="B5" s="347">
        <v>2</v>
      </c>
      <c r="C5" s="344">
        <f t="shared" ref="C5:C31" si="0">1+C4</f>
        <v>2020</v>
      </c>
      <c r="D5" s="348"/>
      <c r="E5" s="349"/>
      <c r="G5" s="347">
        <v>2</v>
      </c>
      <c r="H5" s="344">
        <f t="shared" ref="H5:H32" si="1">1+H4</f>
        <v>2020</v>
      </c>
      <c r="I5" s="348"/>
      <c r="J5" s="349"/>
      <c r="L5" s="347">
        <v>2</v>
      </c>
      <c r="M5" s="344">
        <f t="shared" ref="M5:M34" si="2">1+M4</f>
        <v>2020</v>
      </c>
      <c r="N5" s="348"/>
      <c r="O5" s="349"/>
    </row>
    <row r="6" spans="2:17" s="4" customFormat="1" ht="17.100000000000001" customHeight="1" x14ac:dyDescent="0.3">
      <c r="B6" s="347">
        <v>3</v>
      </c>
      <c r="C6" s="344">
        <f t="shared" si="0"/>
        <v>2021</v>
      </c>
      <c r="D6" s="348"/>
      <c r="E6" s="349"/>
      <c r="G6" s="347">
        <v>3</v>
      </c>
      <c r="H6" s="344">
        <f t="shared" si="1"/>
        <v>2021</v>
      </c>
      <c r="I6" s="348"/>
      <c r="J6" s="349"/>
      <c r="L6" s="347">
        <v>3</v>
      </c>
      <c r="M6" s="344">
        <f t="shared" si="2"/>
        <v>2021</v>
      </c>
      <c r="N6" s="348"/>
      <c r="O6" s="349"/>
    </row>
    <row r="7" spans="2:17" s="4" customFormat="1" ht="17.100000000000001" customHeight="1" x14ac:dyDescent="0.3">
      <c r="B7" s="347">
        <v>4</v>
      </c>
      <c r="C7" s="344">
        <f t="shared" si="0"/>
        <v>2022</v>
      </c>
      <c r="D7" s="349">
        <v>10822000</v>
      </c>
      <c r="E7" s="349">
        <f>D7/(1+0.07)^B7</f>
        <v>8256051.9847783176</v>
      </c>
      <c r="G7" s="347">
        <v>4</v>
      </c>
      <c r="H7" s="344">
        <f t="shared" si="1"/>
        <v>2022</v>
      </c>
      <c r="I7" s="350">
        <v>4363500</v>
      </c>
      <c r="J7" s="349">
        <f>I7/(1+0.07)^G7</f>
        <v>3328893.2577693765</v>
      </c>
      <c r="K7" s="101"/>
      <c r="L7" s="347">
        <v>4</v>
      </c>
      <c r="M7" s="344">
        <f t="shared" si="2"/>
        <v>2022</v>
      </c>
      <c r="N7" s="350"/>
      <c r="O7" s="349"/>
      <c r="P7" s="540"/>
      <c r="Q7" s="541"/>
    </row>
    <row r="8" spans="2:17" s="4" customFormat="1" ht="17.100000000000001" customHeight="1" x14ac:dyDescent="0.3">
      <c r="B8" s="347">
        <v>5</v>
      </c>
      <c r="C8" s="344">
        <f t="shared" si="0"/>
        <v>2023</v>
      </c>
      <c r="D8" s="351"/>
      <c r="E8" s="351"/>
      <c r="G8" s="347">
        <v>5</v>
      </c>
      <c r="H8" s="344">
        <f t="shared" si="1"/>
        <v>2023</v>
      </c>
      <c r="I8" s="351"/>
      <c r="J8" s="351"/>
      <c r="L8" s="347">
        <v>5</v>
      </c>
      <c r="M8" s="344">
        <f t="shared" si="2"/>
        <v>2023</v>
      </c>
      <c r="N8" s="350">
        <v>5990000</v>
      </c>
      <c r="O8" s="349">
        <f>N8/(1+0.07)^L8</f>
        <v>4270787.2151071737</v>
      </c>
      <c r="P8" s="540"/>
      <c r="Q8" s="542"/>
    </row>
    <row r="9" spans="2:17" s="4" customFormat="1" ht="17.100000000000001" customHeight="1" x14ac:dyDescent="0.3">
      <c r="B9" s="347">
        <v>6</v>
      </c>
      <c r="C9" s="344">
        <f t="shared" si="0"/>
        <v>2024</v>
      </c>
      <c r="D9" s="351"/>
      <c r="E9" s="351"/>
      <c r="G9" s="347">
        <v>6</v>
      </c>
      <c r="H9" s="344">
        <f t="shared" si="1"/>
        <v>2024</v>
      </c>
      <c r="I9" s="351"/>
      <c r="J9" s="351"/>
      <c r="L9" s="347">
        <v>6</v>
      </c>
      <c r="M9" s="344">
        <f t="shared" si="2"/>
        <v>2024</v>
      </c>
      <c r="N9" s="351"/>
      <c r="O9" s="351"/>
      <c r="P9" s="540"/>
      <c r="Q9" s="542"/>
    </row>
    <row r="10" spans="2:17" s="4" customFormat="1" ht="17.100000000000001" customHeight="1" x14ac:dyDescent="0.3">
      <c r="B10" s="347">
        <v>7</v>
      </c>
      <c r="C10" s="344">
        <f t="shared" si="0"/>
        <v>2025</v>
      </c>
      <c r="D10" s="351"/>
      <c r="E10" s="351"/>
      <c r="F10" s="5"/>
      <c r="G10" s="347">
        <v>7</v>
      </c>
      <c r="H10" s="344">
        <f t="shared" si="1"/>
        <v>2025</v>
      </c>
      <c r="I10" s="351"/>
      <c r="J10" s="351"/>
      <c r="K10" s="5"/>
      <c r="L10" s="347">
        <v>7</v>
      </c>
      <c r="M10" s="344">
        <f t="shared" si="2"/>
        <v>2025</v>
      </c>
      <c r="N10" s="351"/>
      <c r="O10" s="351"/>
      <c r="P10" s="5"/>
    </row>
    <row r="11" spans="2:17" s="4" customFormat="1" ht="17.100000000000001" customHeight="1" x14ac:dyDescent="0.3">
      <c r="B11" s="347">
        <v>8</v>
      </c>
      <c r="C11" s="344">
        <f t="shared" si="0"/>
        <v>2026</v>
      </c>
      <c r="D11" s="351"/>
      <c r="E11" s="351"/>
      <c r="F11" s="3"/>
      <c r="G11" s="347">
        <v>8</v>
      </c>
      <c r="H11" s="344">
        <f t="shared" si="1"/>
        <v>2026</v>
      </c>
      <c r="I11" s="351"/>
      <c r="J11" s="351"/>
      <c r="K11" s="3"/>
      <c r="L11" s="347">
        <v>8</v>
      </c>
      <c r="M11" s="344">
        <f t="shared" si="2"/>
        <v>2026</v>
      </c>
      <c r="N11" s="351"/>
      <c r="O11" s="351"/>
      <c r="P11" s="3"/>
    </row>
    <row r="12" spans="2:17" s="4" customFormat="1" ht="17.100000000000001" customHeight="1" x14ac:dyDescent="0.3">
      <c r="B12" s="347">
        <v>9</v>
      </c>
      <c r="C12" s="344">
        <f t="shared" si="0"/>
        <v>2027</v>
      </c>
      <c r="D12" s="351"/>
      <c r="E12" s="351"/>
      <c r="G12" s="347">
        <v>9</v>
      </c>
      <c r="H12" s="344">
        <f t="shared" si="1"/>
        <v>2027</v>
      </c>
      <c r="I12" s="351"/>
      <c r="J12" s="351"/>
      <c r="L12" s="347">
        <v>9</v>
      </c>
      <c r="M12" s="344">
        <f t="shared" si="2"/>
        <v>2027</v>
      </c>
      <c r="N12" s="351"/>
      <c r="O12" s="351"/>
    </row>
    <row r="13" spans="2:17" s="4" customFormat="1" ht="17.100000000000001" customHeight="1" x14ac:dyDescent="0.3">
      <c r="B13" s="347">
        <v>10</v>
      </c>
      <c r="C13" s="344">
        <f t="shared" si="0"/>
        <v>2028</v>
      </c>
      <c r="D13" s="351"/>
      <c r="E13" s="351"/>
      <c r="G13" s="347">
        <v>10</v>
      </c>
      <c r="H13" s="344">
        <f t="shared" si="1"/>
        <v>2028</v>
      </c>
      <c r="I13" s="351"/>
      <c r="J13" s="351"/>
      <c r="L13" s="347">
        <v>10</v>
      </c>
      <c r="M13" s="344">
        <f t="shared" si="2"/>
        <v>2028</v>
      </c>
      <c r="N13" s="351"/>
      <c r="O13" s="351"/>
    </row>
    <row r="14" spans="2:17" s="4" customFormat="1" ht="17.100000000000001" customHeight="1" x14ac:dyDescent="0.3">
      <c r="B14" s="347">
        <v>11</v>
      </c>
      <c r="C14" s="344">
        <f t="shared" si="0"/>
        <v>2029</v>
      </c>
      <c r="D14" s="351"/>
      <c r="E14" s="351"/>
      <c r="G14" s="347">
        <v>11</v>
      </c>
      <c r="H14" s="344">
        <f t="shared" si="1"/>
        <v>2029</v>
      </c>
      <c r="I14" s="351"/>
      <c r="J14" s="351"/>
      <c r="L14" s="347">
        <v>11</v>
      </c>
      <c r="M14" s="344">
        <f t="shared" si="2"/>
        <v>2029</v>
      </c>
      <c r="N14" s="351"/>
      <c r="O14" s="351"/>
    </row>
    <row r="15" spans="2:17" s="4" customFormat="1" ht="17.100000000000001" customHeight="1" x14ac:dyDescent="0.3">
      <c r="B15" s="347">
        <v>12</v>
      </c>
      <c r="C15" s="344">
        <f t="shared" si="0"/>
        <v>2030</v>
      </c>
      <c r="D15" s="351"/>
      <c r="E15" s="351"/>
      <c r="G15" s="347">
        <v>12</v>
      </c>
      <c r="H15" s="344">
        <f t="shared" si="1"/>
        <v>2030</v>
      </c>
      <c r="I15" s="351"/>
      <c r="J15" s="351"/>
      <c r="L15" s="347">
        <v>12</v>
      </c>
      <c r="M15" s="344">
        <f t="shared" si="2"/>
        <v>2030</v>
      </c>
      <c r="N15" s="351"/>
      <c r="O15" s="351"/>
    </row>
    <row r="16" spans="2:17" s="4" customFormat="1" ht="17.100000000000001" customHeight="1" x14ac:dyDescent="0.3">
      <c r="B16" s="347">
        <v>13</v>
      </c>
      <c r="C16" s="344">
        <f t="shared" si="0"/>
        <v>2031</v>
      </c>
      <c r="D16" s="351"/>
      <c r="E16" s="351"/>
      <c r="G16" s="347">
        <v>13</v>
      </c>
      <c r="H16" s="344">
        <f t="shared" si="1"/>
        <v>2031</v>
      </c>
      <c r="I16" s="351"/>
      <c r="J16" s="351"/>
      <c r="L16" s="347">
        <v>13</v>
      </c>
      <c r="M16" s="344">
        <f t="shared" si="2"/>
        <v>2031</v>
      </c>
      <c r="N16" s="351"/>
      <c r="O16" s="351"/>
    </row>
    <row r="17" spans="2:15" s="4" customFormat="1" ht="17.100000000000001" customHeight="1" x14ac:dyDescent="0.3">
      <c r="B17" s="347">
        <v>14</v>
      </c>
      <c r="C17" s="344">
        <f t="shared" si="0"/>
        <v>2032</v>
      </c>
      <c r="D17" s="351"/>
      <c r="E17" s="351"/>
      <c r="G17" s="347">
        <v>14</v>
      </c>
      <c r="H17" s="344">
        <f t="shared" si="1"/>
        <v>2032</v>
      </c>
      <c r="I17" s="351"/>
      <c r="J17" s="351"/>
      <c r="L17" s="347">
        <v>14</v>
      </c>
      <c r="M17" s="344">
        <f t="shared" si="2"/>
        <v>2032</v>
      </c>
      <c r="N17" s="351"/>
      <c r="O17" s="351"/>
    </row>
    <row r="18" spans="2:15" ht="17.100000000000001" customHeight="1" x14ac:dyDescent="0.3">
      <c r="B18" s="347">
        <v>15</v>
      </c>
      <c r="C18" s="344">
        <f t="shared" si="0"/>
        <v>2033</v>
      </c>
      <c r="D18" s="349"/>
      <c r="E18" s="349"/>
      <c r="G18" s="347">
        <v>15</v>
      </c>
      <c r="H18" s="344">
        <f t="shared" si="1"/>
        <v>2033</v>
      </c>
      <c r="I18" s="349"/>
      <c r="J18" s="349"/>
      <c r="L18" s="347">
        <v>15</v>
      </c>
      <c r="M18" s="344">
        <f t="shared" si="2"/>
        <v>2033</v>
      </c>
      <c r="N18" s="349"/>
      <c r="O18" s="349"/>
    </row>
    <row r="19" spans="2:15" ht="17.100000000000001" customHeight="1" x14ac:dyDescent="0.3">
      <c r="B19" s="347">
        <v>16</v>
      </c>
      <c r="C19" s="344">
        <f t="shared" si="0"/>
        <v>2034</v>
      </c>
      <c r="D19" s="351"/>
      <c r="E19" s="351"/>
      <c r="G19" s="347">
        <v>16</v>
      </c>
      <c r="H19" s="344">
        <f t="shared" si="1"/>
        <v>2034</v>
      </c>
      <c r="I19" s="351"/>
      <c r="J19" s="351"/>
      <c r="L19" s="347">
        <v>16</v>
      </c>
      <c r="M19" s="344">
        <f t="shared" si="2"/>
        <v>2034</v>
      </c>
      <c r="N19" s="351"/>
      <c r="O19" s="351"/>
    </row>
    <row r="20" spans="2:15" ht="17.100000000000001" customHeight="1" x14ac:dyDescent="0.3">
      <c r="B20" s="347">
        <v>17</v>
      </c>
      <c r="C20" s="344">
        <f t="shared" si="0"/>
        <v>2035</v>
      </c>
      <c r="D20" s="351"/>
      <c r="E20" s="351"/>
      <c r="G20" s="347">
        <v>17</v>
      </c>
      <c r="H20" s="344">
        <f t="shared" si="1"/>
        <v>2035</v>
      </c>
      <c r="I20" s="351"/>
      <c r="J20" s="351"/>
      <c r="L20" s="347">
        <v>17</v>
      </c>
      <c r="M20" s="344">
        <f t="shared" si="2"/>
        <v>2035</v>
      </c>
      <c r="N20" s="351"/>
      <c r="O20" s="351"/>
    </row>
    <row r="21" spans="2:15" ht="17.100000000000001" customHeight="1" x14ac:dyDescent="0.3">
      <c r="B21" s="347">
        <v>18</v>
      </c>
      <c r="C21" s="344">
        <f t="shared" si="0"/>
        <v>2036</v>
      </c>
      <c r="D21" s="351"/>
      <c r="E21" s="351"/>
      <c r="G21" s="347">
        <v>18</v>
      </c>
      <c r="H21" s="344">
        <f t="shared" si="1"/>
        <v>2036</v>
      </c>
      <c r="I21" s="351"/>
      <c r="J21" s="351"/>
      <c r="L21" s="347">
        <v>18</v>
      </c>
      <c r="M21" s="344">
        <f t="shared" si="2"/>
        <v>2036</v>
      </c>
      <c r="N21" s="351"/>
      <c r="O21" s="351"/>
    </row>
    <row r="22" spans="2:15" ht="17.100000000000001" customHeight="1" x14ac:dyDescent="0.3">
      <c r="B22" s="352">
        <v>19</v>
      </c>
      <c r="C22" s="344">
        <f t="shared" si="0"/>
        <v>2037</v>
      </c>
      <c r="D22" s="353"/>
      <c r="E22" s="353"/>
      <c r="G22" s="352">
        <v>19</v>
      </c>
      <c r="H22" s="344">
        <f t="shared" si="1"/>
        <v>2037</v>
      </c>
      <c r="I22" s="353"/>
      <c r="J22" s="353"/>
      <c r="L22" s="352">
        <v>19</v>
      </c>
      <c r="M22" s="344">
        <f t="shared" si="2"/>
        <v>2037</v>
      </c>
      <c r="N22" s="353"/>
      <c r="O22" s="353"/>
    </row>
    <row r="23" spans="2:15" ht="17.100000000000001" customHeight="1" x14ac:dyDescent="0.3">
      <c r="B23" s="352">
        <v>20</v>
      </c>
      <c r="C23" s="344">
        <f t="shared" si="0"/>
        <v>2038</v>
      </c>
      <c r="D23" s="353"/>
      <c r="E23" s="353"/>
      <c r="G23" s="352">
        <v>20</v>
      </c>
      <c r="H23" s="344">
        <f t="shared" si="1"/>
        <v>2038</v>
      </c>
      <c r="I23" s="353"/>
      <c r="J23" s="353"/>
      <c r="L23" s="352">
        <v>20</v>
      </c>
      <c r="M23" s="344">
        <f t="shared" si="2"/>
        <v>2038</v>
      </c>
      <c r="N23" s="353"/>
      <c r="O23" s="353"/>
    </row>
    <row r="24" spans="2:15" ht="17.100000000000001" customHeight="1" x14ac:dyDescent="0.3">
      <c r="B24" s="352">
        <v>21</v>
      </c>
      <c r="C24" s="344">
        <f t="shared" si="0"/>
        <v>2039</v>
      </c>
      <c r="D24" s="353"/>
      <c r="E24" s="353"/>
      <c r="G24" s="352">
        <v>21</v>
      </c>
      <c r="H24" s="344">
        <f t="shared" si="1"/>
        <v>2039</v>
      </c>
      <c r="I24" s="353"/>
      <c r="J24" s="353"/>
      <c r="L24" s="352">
        <v>21</v>
      </c>
      <c r="M24" s="344">
        <f t="shared" si="2"/>
        <v>2039</v>
      </c>
      <c r="N24" s="353"/>
      <c r="O24" s="353"/>
    </row>
    <row r="25" spans="2:15" ht="17.100000000000001" customHeight="1" x14ac:dyDescent="0.3">
      <c r="B25" s="352">
        <v>22</v>
      </c>
      <c r="C25" s="344">
        <f t="shared" si="0"/>
        <v>2040</v>
      </c>
      <c r="D25" s="349"/>
      <c r="E25" s="346"/>
      <c r="G25" s="352">
        <v>22</v>
      </c>
      <c r="H25" s="344">
        <f t="shared" si="1"/>
        <v>2040</v>
      </c>
      <c r="I25" s="349"/>
      <c r="J25" s="346"/>
      <c r="L25" s="352">
        <v>22</v>
      </c>
      <c r="M25" s="344">
        <f t="shared" si="2"/>
        <v>2040</v>
      </c>
      <c r="N25" s="349"/>
      <c r="O25" s="346"/>
    </row>
    <row r="26" spans="2:15" ht="17.100000000000001" customHeight="1" x14ac:dyDescent="0.3">
      <c r="B26" s="352">
        <v>23</v>
      </c>
      <c r="C26" s="344">
        <f t="shared" si="0"/>
        <v>2041</v>
      </c>
      <c r="D26" s="353"/>
      <c r="E26" s="353"/>
      <c r="G26" s="352">
        <v>23</v>
      </c>
      <c r="H26" s="344">
        <f t="shared" si="1"/>
        <v>2041</v>
      </c>
      <c r="I26" s="353"/>
      <c r="J26" s="353"/>
      <c r="L26" s="352">
        <v>23</v>
      </c>
      <c r="M26" s="344">
        <f t="shared" si="2"/>
        <v>2041</v>
      </c>
      <c r="N26" s="353"/>
      <c r="O26" s="353"/>
    </row>
    <row r="27" spans="2:15" ht="17.100000000000001" customHeight="1" x14ac:dyDescent="0.3">
      <c r="B27" s="352">
        <v>24</v>
      </c>
      <c r="C27" s="344">
        <f t="shared" si="0"/>
        <v>2042</v>
      </c>
      <c r="D27" s="353"/>
      <c r="E27" s="353"/>
      <c r="G27" s="352">
        <v>24</v>
      </c>
      <c r="H27" s="344">
        <f t="shared" si="1"/>
        <v>2042</v>
      </c>
      <c r="I27" s="353"/>
      <c r="J27" s="353"/>
      <c r="L27" s="352">
        <v>24</v>
      </c>
      <c r="M27" s="344">
        <f t="shared" si="2"/>
        <v>2042</v>
      </c>
      <c r="N27" s="353"/>
      <c r="O27" s="353"/>
    </row>
    <row r="28" spans="2:15" ht="17.100000000000001" customHeight="1" x14ac:dyDescent="0.3">
      <c r="B28" s="352">
        <v>25</v>
      </c>
      <c r="C28" s="344">
        <f t="shared" si="0"/>
        <v>2043</v>
      </c>
      <c r="D28" s="354"/>
      <c r="E28" s="354"/>
      <c r="G28" s="352">
        <v>25</v>
      </c>
      <c r="H28" s="344">
        <f t="shared" si="1"/>
        <v>2043</v>
      </c>
      <c r="I28" s="354"/>
      <c r="J28" s="354"/>
      <c r="L28" s="352">
        <v>25</v>
      </c>
      <c r="M28" s="344">
        <f t="shared" si="2"/>
        <v>2043</v>
      </c>
      <c r="N28" s="354"/>
      <c r="O28" s="354"/>
    </row>
    <row r="29" spans="2:15" ht="17.100000000000001" customHeight="1" x14ac:dyDescent="0.3">
      <c r="B29" s="352">
        <v>26</v>
      </c>
      <c r="C29" s="344">
        <f t="shared" si="0"/>
        <v>2044</v>
      </c>
      <c r="D29" s="353"/>
      <c r="E29" s="353"/>
      <c r="G29" s="352">
        <v>26</v>
      </c>
      <c r="H29" s="344">
        <f t="shared" si="1"/>
        <v>2044</v>
      </c>
      <c r="I29" s="353"/>
      <c r="J29" s="353"/>
      <c r="L29" s="352">
        <v>26</v>
      </c>
      <c r="M29" s="344">
        <f t="shared" si="2"/>
        <v>2044</v>
      </c>
      <c r="N29" s="353"/>
      <c r="O29" s="353"/>
    </row>
    <row r="30" spans="2:15" ht="17.100000000000001" customHeight="1" x14ac:dyDescent="0.3">
      <c r="B30" s="352">
        <v>27</v>
      </c>
      <c r="C30" s="344">
        <f t="shared" si="0"/>
        <v>2045</v>
      </c>
      <c r="D30" s="353"/>
      <c r="E30" s="353"/>
      <c r="G30" s="352">
        <v>27</v>
      </c>
      <c r="H30" s="344">
        <f t="shared" si="1"/>
        <v>2045</v>
      </c>
      <c r="I30" s="353"/>
      <c r="J30" s="353"/>
      <c r="L30" s="352">
        <v>27</v>
      </c>
      <c r="M30" s="344">
        <f t="shared" si="2"/>
        <v>2045</v>
      </c>
      <c r="N30" s="353"/>
      <c r="O30" s="353"/>
    </row>
    <row r="31" spans="2:15" ht="17.100000000000001" customHeight="1" x14ac:dyDescent="0.3">
      <c r="B31" s="352">
        <v>28</v>
      </c>
      <c r="C31" s="344">
        <f t="shared" si="0"/>
        <v>2046</v>
      </c>
      <c r="D31" s="353"/>
      <c r="E31" s="353"/>
      <c r="G31" s="352">
        <v>28</v>
      </c>
      <c r="H31" s="344">
        <f t="shared" si="1"/>
        <v>2046</v>
      </c>
      <c r="I31" s="353"/>
      <c r="J31" s="353"/>
      <c r="L31" s="352">
        <v>28</v>
      </c>
      <c r="M31" s="344">
        <v>2046</v>
      </c>
      <c r="N31" s="353"/>
      <c r="O31" s="353"/>
    </row>
    <row r="32" spans="2:15" ht="17.100000000000001" customHeight="1" x14ac:dyDescent="0.3">
      <c r="B32" s="352">
        <v>29</v>
      </c>
      <c r="C32" s="344">
        <v>2047</v>
      </c>
      <c r="D32" s="353"/>
      <c r="E32" s="353"/>
      <c r="G32" s="352">
        <v>29</v>
      </c>
      <c r="H32" s="344">
        <f t="shared" si="1"/>
        <v>2047</v>
      </c>
      <c r="I32" s="353"/>
      <c r="J32" s="353"/>
      <c r="L32" s="352">
        <v>29</v>
      </c>
      <c r="M32" s="344">
        <v>2047</v>
      </c>
      <c r="N32" s="353"/>
      <c r="O32" s="353"/>
    </row>
    <row r="33" spans="2:18" ht="17.100000000000001" customHeight="1" x14ac:dyDescent="0.3">
      <c r="B33" s="352">
        <v>30</v>
      </c>
      <c r="C33" s="344">
        <v>2048</v>
      </c>
      <c r="D33" s="353"/>
      <c r="E33" s="353"/>
      <c r="G33" s="352">
        <v>30</v>
      </c>
      <c r="H33" s="344">
        <v>2048</v>
      </c>
      <c r="I33" s="353"/>
      <c r="J33" s="353"/>
      <c r="L33" s="352">
        <v>30</v>
      </c>
      <c r="M33" s="344">
        <v>2048</v>
      </c>
      <c r="N33" s="353"/>
      <c r="O33" s="353"/>
    </row>
    <row r="34" spans="2:18" ht="17.100000000000001" customHeight="1" thickBot="1" x14ac:dyDescent="0.35">
      <c r="B34" s="352">
        <v>31</v>
      </c>
      <c r="C34" s="344">
        <v>2049</v>
      </c>
      <c r="D34" s="349">
        <f>-D38</f>
        <v>-7900060</v>
      </c>
      <c r="E34" s="354">
        <f>D34/(1+0.07)^B34</f>
        <v>-969914.11920400802</v>
      </c>
      <c r="G34" s="352">
        <v>31</v>
      </c>
      <c r="H34" s="344">
        <v>2049</v>
      </c>
      <c r="I34" s="349">
        <f>-I38</f>
        <v>-3185355</v>
      </c>
      <c r="J34" s="354">
        <f>I34/(1+0.07)^G34</f>
        <v>-391075.61071397975</v>
      </c>
      <c r="L34" s="352">
        <v>31</v>
      </c>
      <c r="M34" s="344">
        <f t="shared" si="2"/>
        <v>2049</v>
      </c>
      <c r="N34" s="349">
        <f>-N38</f>
        <v>-4432600</v>
      </c>
      <c r="O34" s="354">
        <f>N34/(1+0.07)^L34</f>
        <v>-544203.62943872402</v>
      </c>
    </row>
    <row r="35" spans="2:18" ht="15.75" customHeight="1" thickBot="1" x14ac:dyDescent="0.35">
      <c r="B35" s="236"/>
      <c r="C35" s="236"/>
      <c r="D35" s="237"/>
      <c r="E35" s="238">
        <f>SUM(E3:E34)</f>
        <v>7286137.8655743096</v>
      </c>
      <c r="G35" s="236"/>
      <c r="H35" s="236"/>
      <c r="I35" s="237"/>
      <c r="J35" s="238">
        <f>SUM(J3:J34)</f>
        <v>2937817.6470553968</v>
      </c>
      <c r="L35" s="236"/>
      <c r="M35" s="236"/>
      <c r="N35" s="237"/>
      <c r="O35" s="238">
        <f>SUM(O3:O34)</f>
        <v>3726583.5856684498</v>
      </c>
    </row>
    <row r="38" spans="2:18" ht="15" customHeight="1" x14ac:dyDescent="0.25">
      <c r="B38" s="9" t="s">
        <v>33</v>
      </c>
      <c r="D38" s="31">
        <f>((100-27)/100)*D7</f>
        <v>7900060</v>
      </c>
      <c r="G38" s="9" t="s">
        <v>33</v>
      </c>
      <c r="I38" s="31">
        <f>((100-27)/100)*I7</f>
        <v>3185355</v>
      </c>
      <c r="L38" s="9" t="s">
        <v>33</v>
      </c>
      <c r="N38" s="31">
        <f>((100-26)/100)*N8</f>
        <v>4432600</v>
      </c>
    </row>
    <row r="39" spans="2:18" ht="15" customHeight="1" x14ac:dyDescent="0.2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</row>
    <row r="40" spans="2:18" ht="15" customHeight="1" x14ac:dyDescent="0.2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</row>
    <row r="42" spans="2:18" ht="15" customHeight="1" thickBot="1" x14ac:dyDescent="0.3">
      <c r="B42" s="38"/>
      <c r="C42" s="265" t="s">
        <v>34</v>
      </c>
      <c r="D42" s="266"/>
      <c r="G42" s="38"/>
      <c r="H42" s="265" t="s">
        <v>35</v>
      </c>
      <c r="I42" s="266"/>
      <c r="M42" s="538" t="s">
        <v>36</v>
      </c>
      <c r="N42" s="538"/>
    </row>
    <row r="43" spans="2:18" ht="15" customHeight="1" thickBot="1" x14ac:dyDescent="0.35">
      <c r="B43" s="232" t="s">
        <v>29</v>
      </c>
      <c r="C43" s="343" t="s">
        <v>30</v>
      </c>
      <c r="D43" s="343" t="s">
        <v>31</v>
      </c>
      <c r="E43" s="343" t="s">
        <v>32</v>
      </c>
      <c r="G43" s="232" t="s">
        <v>29</v>
      </c>
      <c r="H43" s="343" t="s">
        <v>30</v>
      </c>
      <c r="I43" s="343" t="s">
        <v>31</v>
      </c>
      <c r="J43" s="343" t="s">
        <v>32</v>
      </c>
      <c r="L43" s="232" t="s">
        <v>29</v>
      </c>
      <c r="M43" s="233" t="s">
        <v>30</v>
      </c>
      <c r="N43" s="233" t="s">
        <v>31</v>
      </c>
      <c r="O43" s="234" t="s">
        <v>32</v>
      </c>
    </row>
    <row r="44" spans="2:18" ht="15" customHeight="1" x14ac:dyDescent="0.3">
      <c r="B44" s="235">
        <v>0</v>
      </c>
      <c r="C44" s="344">
        <v>2018</v>
      </c>
      <c r="D44" s="345"/>
      <c r="E44" s="346"/>
      <c r="G44" s="235">
        <v>0</v>
      </c>
      <c r="H44" s="344">
        <v>2018</v>
      </c>
      <c r="I44" s="345"/>
      <c r="J44" s="346"/>
      <c r="L44" s="235">
        <v>0</v>
      </c>
      <c r="M44" s="260">
        <v>2018</v>
      </c>
      <c r="N44" s="261"/>
      <c r="O44" s="262"/>
    </row>
    <row r="45" spans="2:18" ht="15" customHeight="1" x14ac:dyDescent="0.3">
      <c r="B45" s="347">
        <v>1</v>
      </c>
      <c r="C45" s="344">
        <f>1+C44</f>
        <v>2019</v>
      </c>
      <c r="D45" s="263"/>
      <c r="E45" s="264"/>
      <c r="G45" s="347">
        <v>1</v>
      </c>
      <c r="H45" s="344">
        <f>1+H44</f>
        <v>2019</v>
      </c>
      <c r="I45" s="263"/>
      <c r="J45" s="264"/>
      <c r="L45" s="347">
        <v>1</v>
      </c>
      <c r="M45" s="344">
        <f>1+M44</f>
        <v>2019</v>
      </c>
      <c r="N45" s="263"/>
      <c r="O45" s="264"/>
    </row>
    <row r="46" spans="2:18" ht="15" customHeight="1" x14ac:dyDescent="0.3">
      <c r="B46" s="347">
        <v>2</v>
      </c>
      <c r="C46" s="344">
        <f t="shared" ref="C46:C75" si="3">1+C45</f>
        <v>2020</v>
      </c>
      <c r="D46" s="348"/>
      <c r="E46" s="349"/>
      <c r="G46" s="347">
        <v>2</v>
      </c>
      <c r="H46" s="344">
        <f t="shared" ref="H46:H75" si="4">1+H45</f>
        <v>2020</v>
      </c>
      <c r="I46" s="348"/>
      <c r="J46" s="349"/>
      <c r="L46" s="347">
        <v>2</v>
      </c>
      <c r="M46" s="344">
        <f t="shared" ref="M46:M72" si="5">1+M45</f>
        <v>2020</v>
      </c>
      <c r="N46" s="348"/>
      <c r="O46" s="349"/>
    </row>
    <row r="47" spans="2:18" ht="15" customHeight="1" x14ac:dyDescent="0.3">
      <c r="B47" s="347">
        <v>3</v>
      </c>
      <c r="C47" s="344">
        <f t="shared" si="3"/>
        <v>2021</v>
      </c>
      <c r="D47" s="177"/>
      <c r="E47" s="349"/>
      <c r="G47" s="347">
        <v>3</v>
      </c>
      <c r="H47" s="344">
        <f t="shared" si="4"/>
        <v>2021</v>
      </c>
      <c r="I47" s="355"/>
      <c r="J47" s="349"/>
      <c r="L47" s="347">
        <v>3</v>
      </c>
      <c r="M47" s="344">
        <f t="shared" si="5"/>
        <v>2021</v>
      </c>
      <c r="N47" s="348"/>
      <c r="O47" s="349"/>
    </row>
    <row r="48" spans="2:18" ht="15" customHeight="1" x14ac:dyDescent="0.3">
      <c r="B48" s="347">
        <v>4</v>
      </c>
      <c r="C48" s="344">
        <f t="shared" si="3"/>
        <v>2022</v>
      </c>
      <c r="D48" s="350"/>
      <c r="E48" s="349"/>
      <c r="G48" s="347">
        <v>4</v>
      </c>
      <c r="H48" s="344">
        <f t="shared" si="4"/>
        <v>2022</v>
      </c>
      <c r="I48" s="177">
        <f>5577000+8512000+7595000</f>
        <v>21684000</v>
      </c>
      <c r="J48" s="349">
        <f>I48/(1+0.07)^G48</f>
        <v>16542619.778038537</v>
      </c>
      <c r="L48" s="347">
        <v>4</v>
      </c>
      <c r="M48" s="344">
        <f t="shared" si="5"/>
        <v>2022</v>
      </c>
      <c r="N48" s="350"/>
      <c r="O48" s="349"/>
    </row>
    <row r="49" spans="2:15" ht="15" customHeight="1" x14ac:dyDescent="0.3">
      <c r="B49" s="347">
        <v>5</v>
      </c>
      <c r="C49" s="344">
        <f t="shared" si="3"/>
        <v>2023</v>
      </c>
      <c r="D49" s="350">
        <v>6530500</v>
      </c>
      <c r="E49" s="356">
        <f>D49/(1+0.07)^B49</f>
        <v>4656156.2451180965</v>
      </c>
      <c r="G49" s="347">
        <v>5</v>
      </c>
      <c r="H49" s="344">
        <f t="shared" si="4"/>
        <v>2023</v>
      </c>
      <c r="I49" s="350"/>
      <c r="J49" s="349"/>
      <c r="L49" s="347">
        <v>5</v>
      </c>
      <c r="M49" s="344">
        <f t="shared" si="5"/>
        <v>2023</v>
      </c>
      <c r="N49" s="350">
        <v>20177500</v>
      </c>
      <c r="O49" s="349">
        <f>N49/(1+0.07)^L49</f>
        <v>14386278.636531718</v>
      </c>
    </row>
    <row r="50" spans="2:15" ht="15" customHeight="1" x14ac:dyDescent="0.3">
      <c r="B50" s="347">
        <v>6</v>
      </c>
      <c r="C50" s="344">
        <f t="shared" si="3"/>
        <v>2024</v>
      </c>
      <c r="D50" s="351"/>
      <c r="E50" s="351"/>
      <c r="G50" s="347">
        <v>6</v>
      </c>
      <c r="H50" s="344">
        <f t="shared" si="4"/>
        <v>2024</v>
      </c>
      <c r="I50" s="351"/>
      <c r="J50" s="351"/>
      <c r="L50" s="347">
        <v>6</v>
      </c>
      <c r="M50" s="344">
        <f t="shared" si="5"/>
        <v>2024</v>
      </c>
      <c r="N50" s="351"/>
      <c r="O50" s="351"/>
    </row>
    <row r="51" spans="2:15" ht="15" customHeight="1" x14ac:dyDescent="0.3">
      <c r="B51" s="347">
        <v>7</v>
      </c>
      <c r="C51" s="344">
        <f t="shared" si="3"/>
        <v>2025</v>
      </c>
      <c r="D51" s="351"/>
      <c r="E51" s="351"/>
      <c r="G51" s="347">
        <v>7</v>
      </c>
      <c r="H51" s="344">
        <f t="shared" si="4"/>
        <v>2025</v>
      </c>
      <c r="I51" s="351"/>
      <c r="J51" s="351"/>
      <c r="K51" s="5"/>
      <c r="L51" s="347">
        <v>7</v>
      </c>
      <c r="M51" s="344">
        <f t="shared" si="5"/>
        <v>2025</v>
      </c>
      <c r="N51" s="351"/>
      <c r="O51" s="351"/>
    </row>
    <row r="52" spans="2:15" ht="15" customHeight="1" x14ac:dyDescent="0.3">
      <c r="B52" s="347">
        <v>8</v>
      </c>
      <c r="C52" s="344">
        <f t="shared" si="3"/>
        <v>2026</v>
      </c>
      <c r="D52" s="351"/>
      <c r="E52" s="351"/>
      <c r="G52" s="347">
        <v>8</v>
      </c>
      <c r="H52" s="344">
        <f t="shared" si="4"/>
        <v>2026</v>
      </c>
      <c r="I52" s="351"/>
      <c r="J52" s="351"/>
      <c r="K52" s="3"/>
      <c r="L52" s="347">
        <v>8</v>
      </c>
      <c r="M52" s="344">
        <f t="shared" si="5"/>
        <v>2026</v>
      </c>
      <c r="N52" s="351"/>
      <c r="O52" s="351"/>
    </row>
    <row r="53" spans="2:15" ht="15" customHeight="1" x14ac:dyDescent="0.3">
      <c r="B53" s="347">
        <v>9</v>
      </c>
      <c r="C53" s="344">
        <f t="shared" si="3"/>
        <v>2027</v>
      </c>
      <c r="D53" s="351"/>
      <c r="E53" s="351"/>
      <c r="G53" s="347">
        <v>9</v>
      </c>
      <c r="H53" s="344">
        <f t="shared" si="4"/>
        <v>2027</v>
      </c>
      <c r="I53" s="351"/>
      <c r="J53" s="351"/>
      <c r="L53" s="347">
        <v>9</v>
      </c>
      <c r="M53" s="344">
        <f t="shared" si="5"/>
        <v>2027</v>
      </c>
      <c r="N53" s="351"/>
      <c r="O53" s="351"/>
    </row>
    <row r="54" spans="2:15" ht="15" customHeight="1" x14ac:dyDescent="0.3">
      <c r="B54" s="347">
        <v>10</v>
      </c>
      <c r="C54" s="344">
        <f t="shared" si="3"/>
        <v>2028</v>
      </c>
      <c r="D54" s="351"/>
      <c r="E54" s="351"/>
      <c r="G54" s="347">
        <v>10</v>
      </c>
      <c r="H54" s="344">
        <f t="shared" si="4"/>
        <v>2028</v>
      </c>
      <c r="I54" s="351"/>
      <c r="J54" s="351"/>
      <c r="L54" s="347">
        <v>10</v>
      </c>
      <c r="M54" s="344">
        <f t="shared" si="5"/>
        <v>2028</v>
      </c>
      <c r="N54" s="351"/>
      <c r="O54" s="351"/>
    </row>
    <row r="55" spans="2:15" ht="15" customHeight="1" x14ac:dyDescent="0.3">
      <c r="B55" s="347">
        <v>11</v>
      </c>
      <c r="C55" s="344">
        <f t="shared" si="3"/>
        <v>2029</v>
      </c>
      <c r="D55" s="351"/>
      <c r="E55" s="351"/>
      <c r="G55" s="347">
        <v>11</v>
      </c>
      <c r="H55" s="344">
        <f t="shared" si="4"/>
        <v>2029</v>
      </c>
      <c r="I55" s="351"/>
      <c r="J55" s="351"/>
      <c r="L55" s="347">
        <v>11</v>
      </c>
      <c r="M55" s="344">
        <f t="shared" si="5"/>
        <v>2029</v>
      </c>
      <c r="N55" s="351"/>
      <c r="O55" s="351"/>
    </row>
    <row r="56" spans="2:15" ht="15" customHeight="1" x14ac:dyDescent="0.3">
      <c r="B56" s="347">
        <v>12</v>
      </c>
      <c r="C56" s="344">
        <f t="shared" si="3"/>
        <v>2030</v>
      </c>
      <c r="D56" s="351"/>
      <c r="E56" s="351"/>
      <c r="G56" s="347">
        <v>12</v>
      </c>
      <c r="H56" s="344">
        <f t="shared" si="4"/>
        <v>2030</v>
      </c>
      <c r="I56" s="351"/>
      <c r="J56" s="351"/>
      <c r="L56" s="347">
        <v>12</v>
      </c>
      <c r="M56" s="344">
        <f t="shared" si="5"/>
        <v>2030</v>
      </c>
      <c r="N56" s="351"/>
      <c r="O56" s="351"/>
    </row>
    <row r="57" spans="2:15" ht="15" customHeight="1" x14ac:dyDescent="0.3">
      <c r="B57" s="347">
        <v>13</v>
      </c>
      <c r="C57" s="344">
        <f t="shared" si="3"/>
        <v>2031</v>
      </c>
      <c r="D57" s="351"/>
      <c r="E57" s="351"/>
      <c r="G57" s="347">
        <v>13</v>
      </c>
      <c r="H57" s="344">
        <f t="shared" si="4"/>
        <v>2031</v>
      </c>
      <c r="I57" s="351"/>
      <c r="J57" s="351"/>
      <c r="L57" s="347">
        <v>13</v>
      </c>
      <c r="M57" s="344">
        <f t="shared" si="5"/>
        <v>2031</v>
      </c>
      <c r="N57" s="351"/>
      <c r="O57" s="351"/>
    </row>
    <row r="58" spans="2:15" ht="15" customHeight="1" x14ac:dyDescent="0.3">
      <c r="B58" s="347">
        <v>14</v>
      </c>
      <c r="C58" s="344">
        <f t="shared" si="3"/>
        <v>2032</v>
      </c>
      <c r="D58" s="351"/>
      <c r="E58" s="351"/>
      <c r="G58" s="347">
        <v>14</v>
      </c>
      <c r="H58" s="344">
        <f t="shared" si="4"/>
        <v>2032</v>
      </c>
      <c r="I58" s="351"/>
      <c r="J58" s="351"/>
      <c r="L58" s="347">
        <v>14</v>
      </c>
      <c r="M58" s="344">
        <f t="shared" si="5"/>
        <v>2032</v>
      </c>
      <c r="N58" s="351"/>
      <c r="O58" s="351"/>
    </row>
    <row r="59" spans="2:15" ht="15" customHeight="1" x14ac:dyDescent="0.3">
      <c r="B59" s="347">
        <v>15</v>
      </c>
      <c r="C59" s="344">
        <f t="shared" si="3"/>
        <v>2033</v>
      </c>
      <c r="D59" s="349"/>
      <c r="E59" s="349"/>
      <c r="G59" s="347">
        <v>15</v>
      </c>
      <c r="H59" s="344">
        <f t="shared" si="4"/>
        <v>2033</v>
      </c>
      <c r="I59" s="349"/>
      <c r="J59" s="349"/>
      <c r="L59" s="347">
        <v>15</v>
      </c>
      <c r="M59" s="344">
        <f t="shared" si="5"/>
        <v>2033</v>
      </c>
      <c r="N59" s="349"/>
      <c r="O59" s="349"/>
    </row>
    <row r="60" spans="2:15" ht="15" customHeight="1" x14ac:dyDescent="0.3">
      <c r="B60" s="347">
        <v>16</v>
      </c>
      <c r="C60" s="344">
        <f t="shared" si="3"/>
        <v>2034</v>
      </c>
      <c r="D60" s="351"/>
      <c r="E60" s="351"/>
      <c r="G60" s="347">
        <v>16</v>
      </c>
      <c r="H60" s="344">
        <f t="shared" si="4"/>
        <v>2034</v>
      </c>
      <c r="I60" s="351"/>
      <c r="J60" s="351"/>
      <c r="L60" s="347">
        <v>16</v>
      </c>
      <c r="M60" s="344">
        <f t="shared" si="5"/>
        <v>2034</v>
      </c>
      <c r="N60" s="351"/>
      <c r="O60" s="351"/>
    </row>
    <row r="61" spans="2:15" ht="15" customHeight="1" x14ac:dyDescent="0.3">
      <c r="B61" s="347">
        <v>17</v>
      </c>
      <c r="C61" s="344">
        <f t="shared" si="3"/>
        <v>2035</v>
      </c>
      <c r="D61" s="351"/>
      <c r="E61" s="351"/>
      <c r="G61" s="347">
        <v>17</v>
      </c>
      <c r="H61" s="344">
        <f t="shared" si="4"/>
        <v>2035</v>
      </c>
      <c r="I61" s="351"/>
      <c r="J61" s="351"/>
      <c r="L61" s="347">
        <v>17</v>
      </c>
      <c r="M61" s="344">
        <f t="shared" si="5"/>
        <v>2035</v>
      </c>
      <c r="N61" s="351"/>
      <c r="O61" s="351"/>
    </row>
    <row r="62" spans="2:15" ht="15" customHeight="1" x14ac:dyDescent="0.3">
      <c r="B62" s="347">
        <v>18</v>
      </c>
      <c r="C62" s="344">
        <f t="shared" si="3"/>
        <v>2036</v>
      </c>
      <c r="D62" s="351"/>
      <c r="E62" s="351"/>
      <c r="G62" s="347">
        <v>18</v>
      </c>
      <c r="H62" s="344">
        <f t="shared" si="4"/>
        <v>2036</v>
      </c>
      <c r="I62" s="351"/>
      <c r="J62" s="351"/>
      <c r="L62" s="347">
        <v>18</v>
      </c>
      <c r="M62" s="344">
        <f t="shared" si="5"/>
        <v>2036</v>
      </c>
      <c r="N62" s="351"/>
      <c r="O62" s="351"/>
    </row>
    <row r="63" spans="2:15" ht="15" customHeight="1" x14ac:dyDescent="0.3">
      <c r="B63" s="352">
        <v>19</v>
      </c>
      <c r="C63" s="344">
        <f t="shared" si="3"/>
        <v>2037</v>
      </c>
      <c r="D63" s="353"/>
      <c r="E63" s="353"/>
      <c r="G63" s="352">
        <v>19</v>
      </c>
      <c r="H63" s="344">
        <f t="shared" si="4"/>
        <v>2037</v>
      </c>
      <c r="I63" s="353"/>
      <c r="J63" s="353"/>
      <c r="L63" s="352">
        <v>19</v>
      </c>
      <c r="M63" s="344">
        <f t="shared" si="5"/>
        <v>2037</v>
      </c>
      <c r="N63" s="353"/>
      <c r="O63" s="353"/>
    </row>
    <row r="64" spans="2:15" ht="15" customHeight="1" x14ac:dyDescent="0.3">
      <c r="B64" s="352">
        <v>20</v>
      </c>
      <c r="C64" s="344">
        <f t="shared" si="3"/>
        <v>2038</v>
      </c>
      <c r="D64" s="353"/>
      <c r="E64" s="353"/>
      <c r="G64" s="352">
        <v>20</v>
      </c>
      <c r="H64" s="344">
        <f t="shared" si="4"/>
        <v>2038</v>
      </c>
      <c r="I64" s="353"/>
      <c r="J64" s="353"/>
      <c r="L64" s="352">
        <v>20</v>
      </c>
      <c r="M64" s="344">
        <f t="shared" si="5"/>
        <v>2038</v>
      </c>
      <c r="N64" s="353"/>
      <c r="O64" s="353"/>
    </row>
    <row r="65" spans="2:15" ht="15" customHeight="1" x14ac:dyDescent="0.3">
      <c r="B65" s="352">
        <v>21</v>
      </c>
      <c r="C65" s="344">
        <f t="shared" si="3"/>
        <v>2039</v>
      </c>
      <c r="D65" s="353"/>
      <c r="E65" s="353"/>
      <c r="G65" s="352">
        <v>21</v>
      </c>
      <c r="H65" s="344">
        <f t="shared" si="4"/>
        <v>2039</v>
      </c>
      <c r="I65" s="353"/>
      <c r="J65" s="353"/>
      <c r="L65" s="352">
        <v>21</v>
      </c>
      <c r="M65" s="344">
        <f t="shared" si="5"/>
        <v>2039</v>
      </c>
      <c r="N65" s="353"/>
      <c r="O65" s="353"/>
    </row>
    <row r="66" spans="2:15" ht="15" customHeight="1" x14ac:dyDescent="0.3">
      <c r="B66" s="352">
        <v>22</v>
      </c>
      <c r="C66" s="344">
        <f t="shared" si="3"/>
        <v>2040</v>
      </c>
      <c r="D66" s="349"/>
      <c r="E66" s="346"/>
      <c r="G66" s="352">
        <v>22</v>
      </c>
      <c r="H66" s="344">
        <f t="shared" si="4"/>
        <v>2040</v>
      </c>
      <c r="I66" s="349"/>
      <c r="J66" s="346"/>
      <c r="L66" s="352">
        <v>22</v>
      </c>
      <c r="M66" s="344">
        <f t="shared" si="5"/>
        <v>2040</v>
      </c>
      <c r="N66" s="349"/>
      <c r="O66" s="346"/>
    </row>
    <row r="67" spans="2:15" ht="15" customHeight="1" x14ac:dyDescent="0.3">
      <c r="B67" s="352">
        <v>23</v>
      </c>
      <c r="C67" s="344">
        <f t="shared" si="3"/>
        <v>2041</v>
      </c>
      <c r="D67" s="353"/>
      <c r="E67" s="353"/>
      <c r="G67" s="352">
        <v>23</v>
      </c>
      <c r="H67" s="344">
        <f t="shared" si="4"/>
        <v>2041</v>
      </c>
      <c r="I67" s="353"/>
      <c r="J67" s="353"/>
      <c r="L67" s="352">
        <v>23</v>
      </c>
      <c r="M67" s="344">
        <f t="shared" si="5"/>
        <v>2041</v>
      </c>
      <c r="N67" s="353"/>
      <c r="O67" s="353"/>
    </row>
    <row r="68" spans="2:15" ht="15" customHeight="1" x14ac:dyDescent="0.3">
      <c r="B68" s="352">
        <v>24</v>
      </c>
      <c r="C68" s="344">
        <f t="shared" si="3"/>
        <v>2042</v>
      </c>
      <c r="D68" s="353"/>
      <c r="E68" s="353"/>
      <c r="G68" s="352">
        <v>24</v>
      </c>
      <c r="H68" s="344">
        <f t="shared" si="4"/>
        <v>2042</v>
      </c>
      <c r="I68" s="353"/>
      <c r="J68" s="353"/>
      <c r="L68" s="352">
        <v>24</v>
      </c>
      <c r="M68" s="344">
        <f t="shared" si="5"/>
        <v>2042</v>
      </c>
      <c r="N68" s="353"/>
      <c r="O68" s="353"/>
    </row>
    <row r="69" spans="2:15" ht="15" customHeight="1" x14ac:dyDescent="0.3">
      <c r="B69" s="352">
        <v>25</v>
      </c>
      <c r="C69" s="344">
        <f t="shared" si="3"/>
        <v>2043</v>
      </c>
      <c r="D69" s="354"/>
      <c r="E69" s="354"/>
      <c r="G69" s="352">
        <v>25</v>
      </c>
      <c r="H69" s="344">
        <f t="shared" si="4"/>
        <v>2043</v>
      </c>
      <c r="I69" s="354"/>
      <c r="J69" s="354"/>
      <c r="L69" s="352">
        <v>25</v>
      </c>
      <c r="M69" s="344">
        <f t="shared" si="5"/>
        <v>2043</v>
      </c>
      <c r="N69" s="354"/>
      <c r="O69" s="354"/>
    </row>
    <row r="70" spans="2:15" ht="15" customHeight="1" x14ac:dyDescent="0.3">
      <c r="B70" s="352">
        <v>26</v>
      </c>
      <c r="C70" s="344">
        <f t="shared" si="3"/>
        <v>2044</v>
      </c>
      <c r="D70" s="353"/>
      <c r="E70" s="353"/>
      <c r="G70" s="352">
        <v>26</v>
      </c>
      <c r="H70" s="344">
        <f t="shared" si="4"/>
        <v>2044</v>
      </c>
      <c r="I70" s="353"/>
      <c r="J70" s="353"/>
      <c r="L70" s="352">
        <v>26</v>
      </c>
      <c r="M70" s="344">
        <f t="shared" si="5"/>
        <v>2044</v>
      </c>
      <c r="N70" s="353"/>
      <c r="O70" s="353"/>
    </row>
    <row r="71" spans="2:15" ht="15" customHeight="1" x14ac:dyDescent="0.3">
      <c r="B71" s="352">
        <v>27</v>
      </c>
      <c r="C71" s="344">
        <f t="shared" si="3"/>
        <v>2045</v>
      </c>
      <c r="D71" s="353"/>
      <c r="E71" s="353"/>
      <c r="G71" s="352">
        <v>27</v>
      </c>
      <c r="H71" s="344">
        <f t="shared" si="4"/>
        <v>2045</v>
      </c>
      <c r="I71" s="353"/>
      <c r="J71" s="353"/>
      <c r="L71" s="352">
        <v>27</v>
      </c>
      <c r="M71" s="344">
        <f t="shared" si="5"/>
        <v>2045</v>
      </c>
      <c r="N71" s="353"/>
      <c r="O71" s="353"/>
    </row>
    <row r="72" spans="2:15" ht="15" customHeight="1" x14ac:dyDescent="0.3">
      <c r="B72" s="352">
        <v>28</v>
      </c>
      <c r="C72" s="344">
        <v>2046</v>
      </c>
      <c r="D72" s="353"/>
      <c r="E72" s="353"/>
      <c r="G72" s="352">
        <v>28</v>
      </c>
      <c r="H72" s="344">
        <v>2046</v>
      </c>
      <c r="I72" s="353"/>
      <c r="J72" s="353"/>
      <c r="L72" s="352">
        <v>28</v>
      </c>
      <c r="M72" s="344">
        <f t="shared" si="5"/>
        <v>2046</v>
      </c>
      <c r="N72" s="353"/>
      <c r="O72" s="353"/>
    </row>
    <row r="73" spans="2:15" ht="15" customHeight="1" x14ac:dyDescent="0.3">
      <c r="B73" s="352">
        <v>29</v>
      </c>
      <c r="C73" s="344">
        <v>2047</v>
      </c>
      <c r="D73" s="353"/>
      <c r="E73" s="353"/>
      <c r="G73" s="352">
        <v>29</v>
      </c>
      <c r="H73" s="344">
        <v>2047</v>
      </c>
      <c r="I73" s="353"/>
      <c r="J73" s="353"/>
      <c r="L73" s="352">
        <v>29</v>
      </c>
      <c r="M73" s="344">
        <v>2047</v>
      </c>
      <c r="N73" s="353"/>
      <c r="O73" s="353"/>
    </row>
    <row r="74" spans="2:15" ht="15" customHeight="1" x14ac:dyDescent="0.3">
      <c r="B74" s="352">
        <v>30</v>
      </c>
      <c r="C74" s="344">
        <v>2048</v>
      </c>
      <c r="D74" s="353"/>
      <c r="E74" s="353"/>
      <c r="G74" s="352">
        <v>30</v>
      </c>
      <c r="H74" s="344">
        <v>2048</v>
      </c>
      <c r="I74" s="353"/>
      <c r="J74" s="353"/>
      <c r="L74" s="352">
        <v>30</v>
      </c>
      <c r="M74" s="344">
        <v>2047</v>
      </c>
      <c r="N74" s="353"/>
      <c r="O74" s="353"/>
    </row>
    <row r="75" spans="2:15" ht="15" customHeight="1" thickBot="1" x14ac:dyDescent="0.35">
      <c r="B75" s="352">
        <v>31</v>
      </c>
      <c r="C75" s="344">
        <f t="shared" si="3"/>
        <v>2049</v>
      </c>
      <c r="D75" s="349">
        <f>-D79</f>
        <v>-4832570</v>
      </c>
      <c r="E75" s="354">
        <f>D75/(1+0.07)^B75</f>
        <v>-593309.14892313641</v>
      </c>
      <c r="G75" s="352">
        <v>31</v>
      </c>
      <c r="H75" s="344">
        <f t="shared" si="4"/>
        <v>2049</v>
      </c>
      <c r="I75" s="349">
        <f>-I79</f>
        <v>-10284970</v>
      </c>
      <c r="J75" s="354">
        <f>I75/(1+0.07)^G75</f>
        <v>-1262716.6905807862</v>
      </c>
      <c r="L75" s="352">
        <v>31</v>
      </c>
      <c r="M75" s="344">
        <v>2049</v>
      </c>
      <c r="N75" s="349">
        <f>-N79</f>
        <v>-14931350</v>
      </c>
      <c r="O75" s="354">
        <f>N75/(1+0.07)^L75</f>
        <v>-1833166.7333889571</v>
      </c>
    </row>
    <row r="76" spans="2:15" ht="15" customHeight="1" thickBot="1" x14ac:dyDescent="0.35">
      <c r="B76" s="236"/>
      <c r="C76" s="236"/>
      <c r="D76" s="237"/>
      <c r="E76" s="238">
        <f>SUM(E44:E75)</f>
        <v>4062847.0961949602</v>
      </c>
      <c r="G76" s="236"/>
      <c r="H76" s="236"/>
      <c r="I76" s="237"/>
      <c r="J76" s="238">
        <f>SUM(J44:J75)</f>
        <v>15279903.08745775</v>
      </c>
      <c r="L76" s="236"/>
      <c r="M76" s="236"/>
      <c r="N76" s="237"/>
      <c r="O76" s="238">
        <f>SUM(O44:O75)</f>
        <v>12553111.903142761</v>
      </c>
    </row>
    <row r="79" spans="2:15" ht="15" customHeight="1" x14ac:dyDescent="0.25">
      <c r="B79" s="9" t="s">
        <v>33</v>
      </c>
      <c r="D79" s="31">
        <f>((100-26)/100)*D49</f>
        <v>4832570</v>
      </c>
      <c r="G79" s="9" t="s">
        <v>33</v>
      </c>
      <c r="I79" s="31">
        <f>((100-27)/100)*(I48-I82)</f>
        <v>10284970</v>
      </c>
      <c r="L79" s="9" t="s">
        <v>33</v>
      </c>
      <c r="N79" s="31">
        <f>((100-26)/100)*N49</f>
        <v>14931350</v>
      </c>
    </row>
    <row r="82" spans="8:15" ht="15" customHeight="1" x14ac:dyDescent="0.25">
      <c r="H82" s="357" t="s">
        <v>37</v>
      </c>
      <c r="I82" s="358">
        <v>7595000</v>
      </c>
    </row>
    <row r="83" spans="8:15" ht="15" customHeight="1" x14ac:dyDescent="0.25">
      <c r="H83" s="359" t="s">
        <v>38</v>
      </c>
      <c r="I83" s="186">
        <v>8512000</v>
      </c>
    </row>
    <row r="84" spans="8:15" ht="15" customHeight="1" x14ac:dyDescent="0.25">
      <c r="H84" s="267" t="s">
        <v>39</v>
      </c>
      <c r="I84" s="268">
        <v>5577000</v>
      </c>
    </row>
    <row r="85" spans="8:15" ht="15" customHeight="1" x14ac:dyDescent="0.25">
      <c r="H85" s="267"/>
      <c r="I85" s="269">
        <f>SUM(I82:I84)</f>
        <v>21684000</v>
      </c>
    </row>
    <row r="87" spans="8:15" ht="15" customHeight="1" x14ac:dyDescent="0.25">
      <c r="M87" s="360" t="s">
        <v>40</v>
      </c>
      <c r="N87" s="361"/>
      <c r="O87" s="362">
        <f>SUM(O76,J76,E76,O35,J35,E35)</f>
        <v>45846401.185093626</v>
      </c>
    </row>
  </sheetData>
  <mergeCells count="5">
    <mergeCell ref="M42:N42"/>
    <mergeCell ref="H1:I1"/>
    <mergeCell ref="M1:N1"/>
    <mergeCell ref="P7:Q7"/>
    <mergeCell ref="P8:Q9"/>
  </mergeCells>
  <pageMargins left="0.75" right="0.75" top="1" bottom="1" header="0.5" footer="0.5"/>
  <pageSetup orientation="portrait" r:id="rId1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B6C3A-F6D6-4612-93E8-D41209D07876}">
  <dimension ref="A2:T312"/>
  <sheetViews>
    <sheetView topLeftCell="A2" zoomScale="85" zoomScaleNormal="85" workbookViewId="0">
      <selection activeCell="M18" sqref="M18"/>
    </sheetView>
  </sheetViews>
  <sheetFormatPr defaultColWidth="16.6640625" defaultRowHeight="15" x14ac:dyDescent="0.25"/>
  <cols>
    <col min="1" max="1" width="3.109375" style="44" customWidth="1"/>
    <col min="2" max="2" width="11.88671875" style="44" customWidth="1"/>
    <col min="3" max="3" width="9.88671875" style="44" customWidth="1"/>
    <col min="4" max="4" width="16.5546875" style="44" customWidth="1"/>
    <col min="5" max="5" width="17.109375" style="44" customWidth="1"/>
    <col min="6" max="6" width="16.88671875" style="44" customWidth="1"/>
    <col min="7" max="7" width="16.6640625" style="44"/>
    <col min="8" max="8" width="20" style="44" customWidth="1"/>
    <col min="9" max="9" width="17.33203125" style="44" customWidth="1"/>
    <col min="10" max="10" width="15.6640625" style="44" customWidth="1"/>
    <col min="11" max="11" width="17" style="44" customWidth="1"/>
    <col min="12" max="12" width="16.6640625" style="44"/>
    <col min="13" max="13" width="23.109375" style="44" customWidth="1"/>
    <col min="14" max="14" width="16.6640625" style="44"/>
    <col min="15" max="15" width="18.33203125" style="44" customWidth="1"/>
    <col min="16" max="16384" width="16.6640625" style="44"/>
  </cols>
  <sheetData>
    <row r="2" spans="2:13" ht="50.25" customHeight="1" x14ac:dyDescent="0.4">
      <c r="B2" s="543" t="s">
        <v>41</v>
      </c>
      <c r="C2" s="543"/>
      <c r="D2" s="543"/>
      <c r="E2" s="543"/>
      <c r="F2" s="543"/>
      <c r="G2" s="543"/>
      <c r="H2" s="543"/>
      <c r="I2" s="543"/>
    </row>
    <row r="3" spans="2:13" ht="24.9" customHeight="1" x14ac:dyDescent="0.4">
      <c r="B3" s="90" t="s">
        <v>42</v>
      </c>
      <c r="C3" s="90"/>
      <c r="D3" s="90"/>
      <c r="E3" s="90"/>
      <c r="F3" s="90"/>
      <c r="G3" s="91"/>
      <c r="H3" s="91"/>
      <c r="I3" s="91"/>
    </row>
    <row r="4" spans="2:13" ht="24.9" customHeight="1" x14ac:dyDescent="0.4">
      <c r="B4" s="45" t="s">
        <v>43</v>
      </c>
      <c r="C4" s="45"/>
      <c r="D4" s="45"/>
      <c r="E4" s="46"/>
      <c r="G4" s="47"/>
    </row>
    <row r="5" spans="2:13" ht="24.9" customHeight="1" x14ac:dyDescent="0.4">
      <c r="B5" s="45" t="s">
        <v>44</v>
      </c>
      <c r="C5" s="45"/>
      <c r="D5" s="45"/>
      <c r="E5" s="48"/>
      <c r="G5" s="47"/>
      <c r="H5" s="39"/>
    </row>
    <row r="6" spans="2:13" ht="42.75" customHeight="1" x14ac:dyDescent="0.35">
      <c r="B6" s="544" t="s">
        <v>45</v>
      </c>
      <c r="C6" s="544"/>
      <c r="D6" s="544"/>
      <c r="E6" s="544"/>
      <c r="F6" s="544"/>
      <c r="G6" s="544"/>
      <c r="H6" s="544"/>
      <c r="I6" s="544"/>
      <c r="J6" s="544"/>
      <c r="K6" s="544"/>
    </row>
    <row r="7" spans="2:13" ht="18" customHeight="1" x14ac:dyDescent="0.25">
      <c r="B7" s="544" t="s">
        <v>46</v>
      </c>
      <c r="C7" s="544"/>
      <c r="D7" s="544"/>
      <c r="E7" s="544"/>
      <c r="F7" s="544"/>
      <c r="G7" s="544"/>
      <c r="H7" s="544"/>
      <c r="I7" s="544"/>
      <c r="J7" s="544"/>
      <c r="K7" s="544"/>
    </row>
    <row r="8" spans="2:13" ht="47.25" customHeight="1" thickBot="1" x14ac:dyDescent="0.3">
      <c r="B8" s="544"/>
      <c r="C8" s="544"/>
      <c r="D8" s="544"/>
      <c r="E8" s="544"/>
      <c r="F8" s="544"/>
      <c r="G8" s="544"/>
      <c r="H8" s="544"/>
      <c r="I8" s="544"/>
      <c r="J8" s="544"/>
      <c r="K8" s="544"/>
    </row>
    <row r="9" spans="2:13" ht="39" customHeight="1" x14ac:dyDescent="0.25">
      <c r="B9" s="55"/>
      <c r="C9" s="55"/>
      <c r="D9" s="545" t="s">
        <v>47</v>
      </c>
      <c r="E9" s="546"/>
      <c r="F9" s="546"/>
      <c r="G9" s="547"/>
      <c r="H9" s="548" t="s">
        <v>48</v>
      </c>
      <c r="I9" s="549"/>
      <c r="J9" s="549"/>
      <c r="K9" s="550"/>
    </row>
    <row r="10" spans="2:13" ht="73.5" customHeight="1" x14ac:dyDescent="0.25">
      <c r="B10" s="363" t="s">
        <v>30</v>
      </c>
      <c r="C10" s="364" t="s">
        <v>49</v>
      </c>
      <c r="D10" s="365" t="s">
        <v>50</v>
      </c>
      <c r="E10" s="366" t="s">
        <v>51</v>
      </c>
      <c r="F10" s="367" t="s">
        <v>52</v>
      </c>
      <c r="G10" s="368" t="s">
        <v>53</v>
      </c>
      <c r="H10" s="369" t="s">
        <v>50</v>
      </c>
      <c r="I10" s="370" t="s">
        <v>54</v>
      </c>
      <c r="J10" s="371" t="s">
        <v>55</v>
      </c>
      <c r="K10" s="239" t="s">
        <v>56</v>
      </c>
      <c r="M10" s="44" t="s">
        <v>57</v>
      </c>
    </row>
    <row r="11" spans="2:13" ht="21.9" customHeight="1" x14ac:dyDescent="0.25">
      <c r="B11" s="372">
        <v>2018</v>
      </c>
      <c r="C11" s="373">
        <v>0</v>
      </c>
      <c r="D11" s="270"/>
      <c r="E11" s="56"/>
      <c r="F11" s="374">
        <f>SUM(D11:E11)</f>
        <v>0</v>
      </c>
      <c r="G11" s="375">
        <f t="shared" ref="G11:G42" si="0">(F11/(1+0.07)^$C11)</f>
        <v>0</v>
      </c>
      <c r="H11" s="271"/>
      <c r="I11" s="57"/>
      <c r="J11" s="58">
        <f t="shared" ref="J11:J12" si="1">SUM(H11:I11)</f>
        <v>0</v>
      </c>
      <c r="K11" s="59">
        <f t="shared" ref="K11:K42" si="2">J11/(1+0.07)^$C11</f>
        <v>0</v>
      </c>
      <c r="M11" s="44" t="s">
        <v>58</v>
      </c>
    </row>
    <row r="12" spans="2:13" ht="21.9" customHeight="1" x14ac:dyDescent="0.25">
      <c r="B12" s="372">
        <v>2019</v>
      </c>
      <c r="C12" s="373">
        <v>1</v>
      </c>
      <c r="D12" s="270"/>
      <c r="E12" s="56"/>
      <c r="F12" s="374">
        <f t="shared" ref="F12:F42" si="3">SUM(D12:E12)</f>
        <v>0</v>
      </c>
      <c r="G12" s="375">
        <f t="shared" si="0"/>
        <v>0</v>
      </c>
      <c r="H12" s="271"/>
      <c r="I12" s="57"/>
      <c r="J12" s="58">
        <f t="shared" si="1"/>
        <v>0</v>
      </c>
      <c r="K12" s="59">
        <f t="shared" si="2"/>
        <v>0</v>
      </c>
      <c r="M12" s="44" t="s">
        <v>59</v>
      </c>
    </row>
    <row r="13" spans="2:13" ht="21.9" customHeight="1" x14ac:dyDescent="0.25">
      <c r="B13" s="372">
        <v>2020</v>
      </c>
      <c r="C13" s="373">
        <v>2</v>
      </c>
      <c r="D13" s="272">
        <f>235000+200000</f>
        <v>435000</v>
      </c>
      <c r="E13" s="56">
        <v>10000</v>
      </c>
      <c r="F13" s="374">
        <f t="shared" si="3"/>
        <v>445000</v>
      </c>
      <c r="G13" s="375">
        <f t="shared" si="0"/>
        <v>388680.23408157914</v>
      </c>
      <c r="H13" s="271"/>
      <c r="I13" s="57">
        <v>10000</v>
      </c>
      <c r="J13" s="58">
        <f t="shared" ref="J13:J42" si="4">SUM(H13:I13)</f>
        <v>10000</v>
      </c>
      <c r="K13" s="59">
        <f t="shared" si="2"/>
        <v>8734.3872827321156</v>
      </c>
    </row>
    <row r="14" spans="2:13" ht="21.9" customHeight="1" x14ac:dyDescent="0.25">
      <c r="B14" s="372">
        <v>2021</v>
      </c>
      <c r="C14" s="373">
        <f>1+C13</f>
        <v>3</v>
      </c>
      <c r="D14" s="272"/>
      <c r="E14" s="56">
        <v>10000</v>
      </c>
      <c r="F14" s="374">
        <f t="shared" si="3"/>
        <v>10000</v>
      </c>
      <c r="G14" s="375">
        <f t="shared" si="0"/>
        <v>8162.9787689085197</v>
      </c>
      <c r="H14" s="271"/>
      <c r="I14" s="57">
        <v>10000</v>
      </c>
      <c r="J14" s="58">
        <f t="shared" si="4"/>
        <v>10000</v>
      </c>
      <c r="K14" s="59">
        <f t="shared" si="2"/>
        <v>8162.9787689085197</v>
      </c>
    </row>
    <row r="15" spans="2:13" ht="21.9" customHeight="1" x14ac:dyDescent="0.25">
      <c r="B15" s="372">
        <v>2022</v>
      </c>
      <c r="C15" s="373">
        <f t="shared" ref="C15:C42" si="5">C14+1</f>
        <v>4</v>
      </c>
      <c r="D15" s="270"/>
      <c r="E15" s="56">
        <f t="shared" ref="E15:E17" si="6">E14</f>
        <v>10000</v>
      </c>
      <c r="F15" s="374">
        <f t="shared" si="3"/>
        <v>10000</v>
      </c>
      <c r="G15" s="375">
        <f t="shared" si="0"/>
        <v>7628.9521204752518</v>
      </c>
      <c r="H15" s="271"/>
      <c r="I15" s="57"/>
      <c r="J15" s="58">
        <f t="shared" si="4"/>
        <v>0</v>
      </c>
      <c r="K15" s="59">
        <f t="shared" si="2"/>
        <v>0</v>
      </c>
    </row>
    <row r="16" spans="2:13" ht="21.9" customHeight="1" x14ac:dyDescent="0.25">
      <c r="B16" s="372">
        <v>2023</v>
      </c>
      <c r="C16" s="373">
        <f t="shared" si="5"/>
        <v>5</v>
      </c>
      <c r="D16" s="270"/>
      <c r="E16" s="56">
        <f t="shared" si="6"/>
        <v>10000</v>
      </c>
      <c r="F16" s="374">
        <f t="shared" si="3"/>
        <v>10000</v>
      </c>
      <c r="G16" s="375">
        <f t="shared" si="0"/>
        <v>7129.8617948366837</v>
      </c>
      <c r="H16" s="271"/>
      <c r="I16" s="57"/>
      <c r="J16" s="58">
        <f t="shared" si="4"/>
        <v>0</v>
      </c>
      <c r="K16" s="59">
        <f t="shared" si="2"/>
        <v>0</v>
      </c>
    </row>
    <row r="17" spans="2:20" ht="21.9" customHeight="1" thickBot="1" x14ac:dyDescent="0.3">
      <c r="B17" s="372">
        <v>2024</v>
      </c>
      <c r="C17" s="373">
        <f t="shared" si="5"/>
        <v>6</v>
      </c>
      <c r="D17" s="270"/>
      <c r="E17" s="56">
        <f t="shared" si="6"/>
        <v>10000</v>
      </c>
      <c r="F17" s="374">
        <f t="shared" si="3"/>
        <v>10000</v>
      </c>
      <c r="G17" s="375">
        <f t="shared" si="0"/>
        <v>6663.4222381651252</v>
      </c>
      <c r="H17" s="271"/>
      <c r="I17" s="57"/>
      <c r="J17" s="58">
        <f t="shared" si="4"/>
        <v>0</v>
      </c>
      <c r="K17" s="59">
        <f t="shared" si="2"/>
        <v>0</v>
      </c>
    </row>
    <row r="18" spans="2:20" ht="21.9" customHeight="1" x14ac:dyDescent="0.25">
      <c r="B18" s="372">
        <v>2025</v>
      </c>
      <c r="C18" s="373">
        <f t="shared" si="5"/>
        <v>7</v>
      </c>
      <c r="D18" s="270" t="s">
        <v>60</v>
      </c>
      <c r="E18" s="56">
        <v>10000</v>
      </c>
      <c r="F18" s="374">
        <f t="shared" si="3"/>
        <v>10000</v>
      </c>
      <c r="G18" s="375">
        <f t="shared" si="0"/>
        <v>6227.4974188459109</v>
      </c>
      <c r="H18" s="271"/>
      <c r="I18" s="57">
        <v>1500</v>
      </c>
      <c r="J18" s="58">
        <f t="shared" si="4"/>
        <v>1500</v>
      </c>
      <c r="K18" s="59">
        <f t="shared" si="2"/>
        <v>934.12461282688662</v>
      </c>
      <c r="M18" s="240"/>
      <c r="N18" s="376"/>
      <c r="O18" s="376"/>
      <c r="P18" s="377"/>
    </row>
    <row r="19" spans="2:20" ht="21.9" customHeight="1" x14ac:dyDescent="0.25">
      <c r="B19" s="372">
        <v>2026</v>
      </c>
      <c r="C19" s="60">
        <f t="shared" si="5"/>
        <v>8</v>
      </c>
      <c r="D19" s="270"/>
      <c r="E19" s="61">
        <v>1000</v>
      </c>
      <c r="F19" s="374">
        <f t="shared" si="3"/>
        <v>1000</v>
      </c>
      <c r="G19" s="375">
        <f t="shared" si="0"/>
        <v>582.00910456503846</v>
      </c>
      <c r="H19" s="271"/>
      <c r="I19" s="57">
        <v>1500</v>
      </c>
      <c r="J19" s="58">
        <f t="shared" si="4"/>
        <v>1500</v>
      </c>
      <c r="K19" s="59">
        <f t="shared" si="2"/>
        <v>873.01365684755763</v>
      </c>
      <c r="M19" s="273" t="s">
        <v>61</v>
      </c>
      <c r="N19" s="44">
        <v>2039</v>
      </c>
      <c r="P19" s="93"/>
    </row>
    <row r="20" spans="2:20" ht="21.9" customHeight="1" x14ac:dyDescent="0.25">
      <c r="B20" s="372">
        <v>2027</v>
      </c>
      <c r="C20" s="60">
        <f t="shared" si="5"/>
        <v>9</v>
      </c>
      <c r="D20" s="270"/>
      <c r="E20" s="61">
        <v>1000</v>
      </c>
      <c r="F20" s="374">
        <f t="shared" si="3"/>
        <v>1000</v>
      </c>
      <c r="G20" s="375">
        <f t="shared" si="0"/>
        <v>543.93374258414804</v>
      </c>
      <c r="H20" s="271"/>
      <c r="I20" s="57">
        <v>1500</v>
      </c>
      <c r="J20" s="58">
        <f t="shared" si="4"/>
        <v>1500</v>
      </c>
      <c r="K20" s="59">
        <f t="shared" si="2"/>
        <v>815.900613876222</v>
      </c>
      <c r="M20" s="273" t="s">
        <v>62</v>
      </c>
      <c r="N20" s="44">
        <v>2032</v>
      </c>
      <c r="O20" s="44">
        <v>2048</v>
      </c>
      <c r="P20" s="93"/>
    </row>
    <row r="21" spans="2:20" ht="21.9" customHeight="1" x14ac:dyDescent="0.25">
      <c r="B21" s="372">
        <v>2028</v>
      </c>
      <c r="C21" s="60">
        <f t="shared" si="5"/>
        <v>10</v>
      </c>
      <c r="D21" s="270"/>
      <c r="E21" s="61">
        <v>1000</v>
      </c>
      <c r="F21" s="374">
        <f t="shared" si="3"/>
        <v>1000</v>
      </c>
      <c r="G21" s="375">
        <f t="shared" si="0"/>
        <v>508.34929213471781</v>
      </c>
      <c r="H21" s="271"/>
      <c r="I21" s="57">
        <v>1500</v>
      </c>
      <c r="J21" s="58">
        <f t="shared" si="4"/>
        <v>1500</v>
      </c>
      <c r="K21" s="59">
        <f t="shared" si="2"/>
        <v>762.52393820207669</v>
      </c>
      <c r="M21" s="273"/>
      <c r="P21" s="93"/>
    </row>
    <row r="22" spans="2:20" ht="21.9" customHeight="1" x14ac:dyDescent="0.25">
      <c r="B22" s="372">
        <v>2029</v>
      </c>
      <c r="C22" s="60">
        <f t="shared" si="5"/>
        <v>11</v>
      </c>
      <c r="D22" s="270"/>
      <c r="E22" s="61">
        <v>1000</v>
      </c>
      <c r="F22" s="374">
        <f t="shared" si="3"/>
        <v>1000</v>
      </c>
      <c r="G22" s="375">
        <f t="shared" si="0"/>
        <v>475.09279638758665</v>
      </c>
      <c r="H22" s="271"/>
      <c r="I22" s="57">
        <v>1500</v>
      </c>
      <c r="J22" s="58">
        <f t="shared" si="4"/>
        <v>1500</v>
      </c>
      <c r="K22" s="58">
        <f t="shared" si="2"/>
        <v>712.63919458138002</v>
      </c>
      <c r="M22" s="273"/>
      <c r="O22" s="94"/>
      <c r="P22" s="95"/>
      <c r="Q22" s="49"/>
    </row>
    <row r="23" spans="2:20" ht="21.9" customHeight="1" x14ac:dyDescent="0.3">
      <c r="B23" s="372">
        <v>2030</v>
      </c>
      <c r="C23" s="60">
        <f t="shared" si="5"/>
        <v>12</v>
      </c>
      <c r="D23" s="270"/>
      <c r="E23" s="61">
        <v>1000</v>
      </c>
      <c r="F23" s="374">
        <f t="shared" si="3"/>
        <v>1000</v>
      </c>
      <c r="G23" s="375">
        <f t="shared" si="0"/>
        <v>444.01195924073528</v>
      </c>
      <c r="H23" s="271"/>
      <c r="I23" s="57">
        <v>1500</v>
      </c>
      <c r="J23" s="58">
        <f t="shared" si="4"/>
        <v>1500</v>
      </c>
      <c r="K23" s="58">
        <f t="shared" si="2"/>
        <v>666.01793886110295</v>
      </c>
      <c r="M23" s="274"/>
      <c r="N23" s="39"/>
      <c r="O23" s="39"/>
      <c r="P23" s="96"/>
      <c r="Q23" s="39"/>
    </row>
    <row r="24" spans="2:20" ht="21.9" customHeight="1" x14ac:dyDescent="0.3">
      <c r="B24" s="372">
        <v>2031</v>
      </c>
      <c r="C24" s="60">
        <f t="shared" si="5"/>
        <v>13</v>
      </c>
      <c r="D24" s="270"/>
      <c r="E24" s="61">
        <v>1000</v>
      </c>
      <c r="F24" s="374">
        <f t="shared" si="3"/>
        <v>1000</v>
      </c>
      <c r="G24" s="375">
        <f t="shared" si="0"/>
        <v>414.96444788853762</v>
      </c>
      <c r="H24" s="271"/>
      <c r="I24" s="57">
        <v>1500</v>
      </c>
      <c r="J24" s="58">
        <f t="shared" si="4"/>
        <v>1500</v>
      </c>
      <c r="K24" s="58">
        <f t="shared" si="2"/>
        <v>622.44667183280637</v>
      </c>
      <c r="M24" s="275"/>
      <c r="N24" s="39"/>
      <c r="O24" s="39"/>
      <c r="P24" s="96"/>
      <c r="Q24" s="39"/>
    </row>
    <row r="25" spans="2:20" ht="21.9" customHeight="1" x14ac:dyDescent="0.3">
      <c r="B25" s="372">
        <v>2032</v>
      </c>
      <c r="C25" s="60">
        <f t="shared" si="5"/>
        <v>14</v>
      </c>
      <c r="D25" s="270"/>
      <c r="E25" s="61">
        <v>1000</v>
      </c>
      <c r="F25" s="374">
        <f t="shared" si="3"/>
        <v>1000</v>
      </c>
      <c r="G25" s="375">
        <f t="shared" si="0"/>
        <v>387.81724101732487</v>
      </c>
      <c r="H25" s="271">
        <v>235000</v>
      </c>
      <c r="I25" s="57">
        <v>1500</v>
      </c>
      <c r="J25" s="58">
        <f t="shared" si="4"/>
        <v>236500</v>
      </c>
      <c r="K25" s="58">
        <f t="shared" si="2"/>
        <v>91718.777500597338</v>
      </c>
      <c r="M25" s="276" t="s">
        <v>63</v>
      </c>
      <c r="N25" s="39">
        <v>42.4</v>
      </c>
      <c r="O25" s="39">
        <f>138+138</f>
        <v>276</v>
      </c>
      <c r="P25" s="96">
        <f>+O25*N25</f>
        <v>11702.4</v>
      </c>
      <c r="Q25" s="39" t="s">
        <v>64</v>
      </c>
    </row>
    <row r="26" spans="2:20" ht="21.9" customHeight="1" x14ac:dyDescent="0.3">
      <c r="B26" s="372">
        <v>2033</v>
      </c>
      <c r="C26" s="60">
        <f t="shared" si="5"/>
        <v>15</v>
      </c>
      <c r="D26" s="270"/>
      <c r="E26" s="61">
        <v>1000</v>
      </c>
      <c r="F26" s="374">
        <f t="shared" si="3"/>
        <v>1000</v>
      </c>
      <c r="G26" s="375">
        <f t="shared" si="0"/>
        <v>362.44601964235966</v>
      </c>
      <c r="H26" s="271"/>
      <c r="I26" s="57">
        <v>1500</v>
      </c>
      <c r="J26" s="58">
        <f t="shared" si="4"/>
        <v>1500</v>
      </c>
      <c r="K26" s="58">
        <f t="shared" si="2"/>
        <v>543.66902946353946</v>
      </c>
      <c r="M26" s="274"/>
      <c r="N26" s="39"/>
      <c r="O26" s="39"/>
      <c r="P26" s="96"/>
      <c r="Q26" s="39"/>
    </row>
    <row r="27" spans="2:20" ht="21.9" customHeight="1" x14ac:dyDescent="0.3">
      <c r="B27" s="372">
        <v>2034</v>
      </c>
      <c r="C27" s="60">
        <f t="shared" si="5"/>
        <v>16</v>
      </c>
      <c r="D27" s="270"/>
      <c r="E27" s="61">
        <v>1000</v>
      </c>
      <c r="F27" s="374">
        <f t="shared" si="3"/>
        <v>1000</v>
      </c>
      <c r="G27" s="375">
        <f t="shared" si="0"/>
        <v>338.73459779659788</v>
      </c>
      <c r="H27" s="271"/>
      <c r="I27" s="57">
        <v>1500</v>
      </c>
      <c r="J27" s="58">
        <f t="shared" si="4"/>
        <v>1500</v>
      </c>
      <c r="K27" s="58">
        <f t="shared" si="2"/>
        <v>508.10189669489682</v>
      </c>
      <c r="M27" s="275" t="s">
        <v>65</v>
      </c>
      <c r="N27" s="50">
        <v>40</v>
      </c>
      <c r="O27" s="39"/>
      <c r="P27" s="97">
        <f>ROUNDUP(+$P$25*N27,-3)</f>
        <v>469000</v>
      </c>
      <c r="Q27" s="39"/>
    </row>
    <row r="28" spans="2:20" ht="21.9" customHeight="1" x14ac:dyDescent="0.3">
      <c r="B28" s="372">
        <v>2035</v>
      </c>
      <c r="C28" s="60">
        <f t="shared" si="5"/>
        <v>17</v>
      </c>
      <c r="D28" s="270"/>
      <c r="E28" s="61">
        <v>1000</v>
      </c>
      <c r="F28" s="374">
        <f t="shared" si="3"/>
        <v>1000</v>
      </c>
      <c r="G28" s="375">
        <f t="shared" si="0"/>
        <v>316.57439046411014</v>
      </c>
      <c r="H28" s="271"/>
      <c r="I28" s="57">
        <v>1500</v>
      </c>
      <c r="J28" s="58">
        <f t="shared" si="4"/>
        <v>1500</v>
      </c>
      <c r="K28" s="58">
        <f t="shared" si="2"/>
        <v>474.86158569616521</v>
      </c>
      <c r="M28" s="275" t="s">
        <v>66</v>
      </c>
      <c r="N28" s="39">
        <v>10</v>
      </c>
      <c r="O28" s="39"/>
      <c r="P28" s="97">
        <f t="shared" ref="P28:P29" si="7">ROUNDUP(+$P$25*N28,-3)</f>
        <v>118000</v>
      </c>
      <c r="Q28" s="39"/>
    </row>
    <row r="29" spans="2:20" ht="21.9" customHeight="1" x14ac:dyDescent="0.3">
      <c r="B29" s="372">
        <v>2036</v>
      </c>
      <c r="C29" s="60">
        <f t="shared" si="5"/>
        <v>18</v>
      </c>
      <c r="D29" s="270"/>
      <c r="E29" s="61">
        <v>1000</v>
      </c>
      <c r="F29" s="374">
        <f t="shared" si="3"/>
        <v>1000</v>
      </c>
      <c r="G29" s="375">
        <f t="shared" si="0"/>
        <v>295.86391632159825</v>
      </c>
      <c r="H29" s="271"/>
      <c r="I29" s="57">
        <v>1500</v>
      </c>
      <c r="J29" s="58">
        <f t="shared" si="4"/>
        <v>1500</v>
      </c>
      <c r="K29" s="58">
        <f t="shared" si="2"/>
        <v>443.79587448239738</v>
      </c>
      <c r="M29" s="275" t="s">
        <v>67</v>
      </c>
      <c r="N29" s="39">
        <v>20</v>
      </c>
      <c r="O29" s="39"/>
      <c r="P29" s="97">
        <f t="shared" si="7"/>
        <v>235000</v>
      </c>
      <c r="Q29" s="39"/>
    </row>
    <row r="30" spans="2:20" ht="21.9" customHeight="1" x14ac:dyDescent="0.3">
      <c r="B30" s="372">
        <v>2037</v>
      </c>
      <c r="C30" s="60">
        <f t="shared" si="5"/>
        <v>19</v>
      </c>
      <c r="D30" s="270"/>
      <c r="E30" s="61">
        <v>1000</v>
      </c>
      <c r="F30" s="374">
        <f t="shared" si="3"/>
        <v>1000</v>
      </c>
      <c r="G30" s="375">
        <f t="shared" si="0"/>
        <v>276.50833301083946</v>
      </c>
      <c r="H30" s="271"/>
      <c r="I30" s="57">
        <v>1500</v>
      </c>
      <c r="J30" s="58">
        <f t="shared" si="4"/>
        <v>1500</v>
      </c>
      <c r="K30" s="58">
        <f t="shared" si="2"/>
        <v>414.76249951625925</v>
      </c>
      <c r="M30" s="275" t="s">
        <v>68</v>
      </c>
      <c r="N30" s="39">
        <v>200000</v>
      </c>
      <c r="O30" s="39"/>
      <c r="P30" s="97">
        <f>+N30</f>
        <v>200000</v>
      </c>
      <c r="Q30" s="39"/>
      <c r="S30" s="39"/>
      <c r="T30" s="39"/>
    </row>
    <row r="31" spans="2:20" ht="21.9" customHeight="1" thickBot="1" x14ac:dyDescent="0.35">
      <c r="B31" s="372">
        <v>2038</v>
      </c>
      <c r="C31" s="60">
        <f t="shared" si="5"/>
        <v>20</v>
      </c>
      <c r="D31" s="270"/>
      <c r="E31" s="61">
        <v>1000</v>
      </c>
      <c r="F31" s="374">
        <f t="shared" si="3"/>
        <v>1000</v>
      </c>
      <c r="G31" s="375">
        <f t="shared" si="0"/>
        <v>258.4190028138687</v>
      </c>
      <c r="H31" s="271"/>
      <c r="I31" s="57">
        <v>1500</v>
      </c>
      <c r="J31" s="58">
        <f t="shared" si="4"/>
        <v>1500</v>
      </c>
      <c r="K31" s="58">
        <f t="shared" si="2"/>
        <v>387.62850422080305</v>
      </c>
      <c r="M31" s="98" t="s">
        <v>69</v>
      </c>
      <c r="N31" s="99">
        <v>50</v>
      </c>
      <c r="O31" s="99"/>
      <c r="P31" s="100">
        <f>ROUNDUP(+$P$25*N31,-3)</f>
        <v>586000</v>
      </c>
      <c r="S31" s="43"/>
      <c r="T31" s="39"/>
    </row>
    <row r="32" spans="2:20" ht="21.9" customHeight="1" x14ac:dyDescent="0.3">
      <c r="B32" s="372">
        <v>2039</v>
      </c>
      <c r="C32" s="60">
        <f t="shared" si="5"/>
        <v>21</v>
      </c>
      <c r="D32" s="270"/>
      <c r="E32" s="61">
        <v>1000</v>
      </c>
      <c r="F32" s="374">
        <f t="shared" si="3"/>
        <v>1000</v>
      </c>
      <c r="G32" s="375">
        <f t="shared" si="0"/>
        <v>241.51308674193336</v>
      </c>
      <c r="H32" s="277">
        <f>469000</f>
        <v>469000</v>
      </c>
      <c r="I32" s="57">
        <v>1500</v>
      </c>
      <c r="J32" s="58">
        <f t="shared" si="4"/>
        <v>470500</v>
      </c>
      <c r="K32" s="58">
        <f t="shared" si="2"/>
        <v>113631.90731207964</v>
      </c>
      <c r="S32" s="39"/>
      <c r="T32" s="39"/>
    </row>
    <row r="33" spans="2:20" ht="21.9" customHeight="1" x14ac:dyDescent="0.3">
      <c r="B33" s="372">
        <v>2040</v>
      </c>
      <c r="C33" s="60">
        <f t="shared" si="5"/>
        <v>22</v>
      </c>
      <c r="D33" s="270"/>
      <c r="E33" s="61">
        <v>1000</v>
      </c>
      <c r="F33" s="374">
        <f t="shared" si="3"/>
        <v>1000</v>
      </c>
      <c r="G33" s="375">
        <f t="shared" si="0"/>
        <v>225.71316517937697</v>
      </c>
      <c r="H33" s="271"/>
      <c r="I33" s="57">
        <v>1500</v>
      </c>
      <c r="J33" s="58">
        <f t="shared" si="4"/>
        <v>1500</v>
      </c>
      <c r="K33" s="58">
        <f t="shared" si="2"/>
        <v>338.56974776906543</v>
      </c>
      <c r="Q33" s="39"/>
      <c r="S33" s="39"/>
      <c r="T33" s="39"/>
    </row>
    <row r="34" spans="2:20" ht="21.9" customHeight="1" x14ac:dyDescent="0.3">
      <c r="B34" s="372">
        <v>2041</v>
      </c>
      <c r="C34" s="60">
        <f t="shared" si="5"/>
        <v>23</v>
      </c>
      <c r="D34" s="270"/>
      <c r="E34" s="61">
        <v>1000</v>
      </c>
      <c r="F34" s="374">
        <f t="shared" si="3"/>
        <v>1000</v>
      </c>
      <c r="G34" s="375">
        <f t="shared" si="0"/>
        <v>210.94688334521211</v>
      </c>
      <c r="H34" s="278"/>
      <c r="I34" s="57">
        <v>1500</v>
      </c>
      <c r="J34" s="58">
        <f t="shared" si="4"/>
        <v>1500</v>
      </c>
      <c r="K34" s="58">
        <f t="shared" si="2"/>
        <v>316.42032501781819</v>
      </c>
      <c r="Q34" s="39"/>
      <c r="S34" s="39"/>
      <c r="T34" s="39"/>
    </row>
    <row r="35" spans="2:20" ht="21.9" customHeight="1" x14ac:dyDescent="0.3">
      <c r="B35" s="372">
        <v>2042</v>
      </c>
      <c r="C35" s="60">
        <f t="shared" si="5"/>
        <v>24</v>
      </c>
      <c r="D35" s="270"/>
      <c r="E35" s="61">
        <v>1000</v>
      </c>
      <c r="F35" s="374">
        <f t="shared" si="3"/>
        <v>1000</v>
      </c>
      <c r="G35" s="375">
        <f t="shared" si="0"/>
        <v>197.14661994879637</v>
      </c>
      <c r="H35" s="271"/>
      <c r="I35" s="57">
        <v>1500</v>
      </c>
      <c r="J35" s="58">
        <f t="shared" si="4"/>
        <v>1500</v>
      </c>
      <c r="K35" s="58">
        <f t="shared" si="2"/>
        <v>295.71992992319451</v>
      </c>
      <c r="M35" s="39"/>
      <c r="N35" s="39"/>
      <c r="O35" s="39"/>
      <c r="P35" s="39"/>
      <c r="R35" s="39"/>
      <c r="S35" s="39"/>
    </row>
    <row r="36" spans="2:20" ht="21.9" customHeight="1" x14ac:dyDescent="0.3">
      <c r="B36" s="372">
        <v>2043</v>
      </c>
      <c r="C36" s="60">
        <f t="shared" si="5"/>
        <v>25</v>
      </c>
      <c r="D36" s="270"/>
      <c r="E36" s="61">
        <v>1000</v>
      </c>
      <c r="F36" s="374">
        <f t="shared" si="3"/>
        <v>1000</v>
      </c>
      <c r="G36" s="375">
        <f t="shared" si="0"/>
        <v>184.24917752223956</v>
      </c>
      <c r="H36" s="271"/>
      <c r="I36" s="57">
        <v>1500</v>
      </c>
      <c r="J36" s="58">
        <f t="shared" si="4"/>
        <v>1500</v>
      </c>
      <c r="K36" s="58">
        <f t="shared" si="2"/>
        <v>276.37376628335937</v>
      </c>
      <c r="M36" s="41"/>
      <c r="N36" s="39"/>
      <c r="O36" s="39"/>
      <c r="P36" s="39"/>
      <c r="Q36" s="39"/>
      <c r="S36" s="39"/>
      <c r="T36" s="39"/>
    </row>
    <row r="37" spans="2:20" ht="21.9" customHeight="1" x14ac:dyDescent="0.3">
      <c r="B37" s="372">
        <v>2044</v>
      </c>
      <c r="C37" s="60">
        <f t="shared" si="5"/>
        <v>26</v>
      </c>
      <c r="D37" s="270"/>
      <c r="E37" s="61">
        <v>1000</v>
      </c>
      <c r="F37" s="374">
        <f t="shared" si="3"/>
        <v>1000</v>
      </c>
      <c r="G37" s="375">
        <f t="shared" si="0"/>
        <v>172.19549301143888</v>
      </c>
      <c r="H37" s="271"/>
      <c r="I37" s="57">
        <v>1500</v>
      </c>
      <c r="J37" s="58">
        <f t="shared" si="4"/>
        <v>1500</v>
      </c>
      <c r="K37" s="58">
        <f t="shared" si="2"/>
        <v>258.29323951715833</v>
      </c>
      <c r="M37" s="39"/>
      <c r="N37" s="39"/>
      <c r="O37" s="39"/>
      <c r="P37" s="39"/>
      <c r="Q37" s="39"/>
      <c r="S37" s="39"/>
      <c r="T37" s="39"/>
    </row>
    <row r="38" spans="2:20" ht="21.9" customHeight="1" x14ac:dyDescent="0.3">
      <c r="B38" s="372">
        <v>2045</v>
      </c>
      <c r="C38" s="60">
        <f t="shared" si="5"/>
        <v>27</v>
      </c>
      <c r="D38" s="279"/>
      <c r="E38" s="61">
        <v>1000</v>
      </c>
      <c r="F38" s="374">
        <f t="shared" si="3"/>
        <v>1000</v>
      </c>
      <c r="G38" s="375">
        <f t="shared" si="0"/>
        <v>160.93036730041013</v>
      </c>
      <c r="H38" s="271"/>
      <c r="I38" s="57">
        <v>1500</v>
      </c>
      <c r="J38" s="58">
        <f t="shared" si="4"/>
        <v>1500</v>
      </c>
      <c r="K38" s="58">
        <f t="shared" si="2"/>
        <v>241.39555095061519</v>
      </c>
      <c r="M38" s="41"/>
      <c r="N38" s="50"/>
      <c r="O38" s="39"/>
      <c r="P38" s="40"/>
      <c r="Q38" s="39"/>
      <c r="S38" s="39"/>
      <c r="T38" s="39"/>
    </row>
    <row r="39" spans="2:20" ht="21.9" customHeight="1" x14ac:dyDescent="0.3">
      <c r="B39" s="372">
        <v>2046</v>
      </c>
      <c r="C39" s="60">
        <f t="shared" si="5"/>
        <v>28</v>
      </c>
      <c r="D39" s="270"/>
      <c r="E39" s="61">
        <v>1000</v>
      </c>
      <c r="F39" s="374">
        <f t="shared" si="3"/>
        <v>1000</v>
      </c>
      <c r="G39" s="375">
        <f t="shared" si="0"/>
        <v>150.40221243028986</v>
      </c>
      <c r="H39" s="271"/>
      <c r="I39" s="57">
        <v>1500</v>
      </c>
      <c r="J39" s="58">
        <f t="shared" si="4"/>
        <v>1500</v>
      </c>
      <c r="K39" s="58">
        <f t="shared" si="2"/>
        <v>225.6033186454348</v>
      </c>
      <c r="M39" s="41"/>
      <c r="N39" s="39"/>
      <c r="O39" s="39"/>
      <c r="P39" s="40"/>
      <c r="Q39" s="39"/>
      <c r="S39" s="39"/>
      <c r="T39" s="39"/>
    </row>
    <row r="40" spans="2:20" ht="21.9" customHeight="1" x14ac:dyDescent="0.3">
      <c r="B40" s="372">
        <v>2047</v>
      </c>
      <c r="C40" s="60">
        <f t="shared" si="5"/>
        <v>29</v>
      </c>
      <c r="D40" s="270"/>
      <c r="E40" s="61">
        <v>1000</v>
      </c>
      <c r="F40" s="374">
        <f t="shared" si="3"/>
        <v>1000</v>
      </c>
      <c r="G40" s="375">
        <f t="shared" si="0"/>
        <v>140.56281535541109</v>
      </c>
      <c r="H40" s="271"/>
      <c r="I40" s="57">
        <v>1500</v>
      </c>
      <c r="J40" s="58">
        <f t="shared" si="4"/>
        <v>1500</v>
      </c>
      <c r="K40" s="58">
        <f t="shared" si="2"/>
        <v>210.84422303311663</v>
      </c>
      <c r="M40" s="41"/>
      <c r="N40" s="39"/>
      <c r="O40" s="39"/>
      <c r="P40" s="40"/>
      <c r="Q40" s="39"/>
      <c r="S40" s="39"/>
      <c r="T40" s="39"/>
    </row>
    <row r="41" spans="2:20" ht="21.9" customHeight="1" x14ac:dyDescent="0.3">
      <c r="B41" s="372">
        <v>2048</v>
      </c>
      <c r="C41" s="60">
        <f t="shared" si="5"/>
        <v>30</v>
      </c>
      <c r="D41" s="270"/>
      <c r="E41" s="61">
        <v>1000</v>
      </c>
      <c r="F41" s="374">
        <f t="shared" si="3"/>
        <v>1000</v>
      </c>
      <c r="G41" s="375">
        <f t="shared" si="0"/>
        <v>131.36711715458981</v>
      </c>
      <c r="H41" s="271">
        <f>235000</f>
        <v>235000</v>
      </c>
      <c r="I41" s="57">
        <v>1500</v>
      </c>
      <c r="J41" s="58">
        <f t="shared" si="4"/>
        <v>236500</v>
      </c>
      <c r="K41" s="58">
        <f t="shared" si="2"/>
        <v>31068.32320706049</v>
      </c>
      <c r="M41" s="41"/>
      <c r="N41" s="39"/>
      <c r="O41" s="39"/>
      <c r="P41" s="40"/>
      <c r="Q41" s="39"/>
      <c r="S41" s="39"/>
      <c r="T41" s="39"/>
    </row>
    <row r="42" spans="2:20" ht="21.9" customHeight="1" x14ac:dyDescent="0.3">
      <c r="B42" s="378">
        <v>2049</v>
      </c>
      <c r="C42" s="379">
        <f t="shared" si="5"/>
        <v>31</v>
      </c>
      <c r="D42" s="62"/>
      <c r="E42" s="380">
        <v>1000</v>
      </c>
      <c r="F42" s="381">
        <f t="shared" si="3"/>
        <v>1000</v>
      </c>
      <c r="G42" s="382">
        <f t="shared" si="0"/>
        <v>122.77300668653251</v>
      </c>
      <c r="H42" s="63"/>
      <c r="I42" s="383">
        <v>1500</v>
      </c>
      <c r="J42" s="384">
        <f t="shared" si="4"/>
        <v>1500</v>
      </c>
      <c r="K42" s="384">
        <f t="shared" si="2"/>
        <v>184.15951002979875</v>
      </c>
      <c r="S42" s="39"/>
      <c r="T42" s="39"/>
    </row>
    <row r="43" spans="2:20" ht="21.9" customHeight="1" x14ac:dyDescent="0.3">
      <c r="B43" s="64"/>
      <c r="C43" s="385"/>
      <c r="D43" s="60"/>
      <c r="E43" s="65"/>
      <c r="F43" s="66"/>
      <c r="G43" s="67"/>
      <c r="H43" s="65"/>
      <c r="I43" s="65"/>
      <c r="J43" s="67"/>
      <c r="K43" s="67"/>
      <c r="S43" s="39"/>
      <c r="T43" s="39"/>
    </row>
    <row r="44" spans="2:20" ht="21.9" customHeight="1" thickBot="1" x14ac:dyDescent="0.35">
      <c r="B44" s="64"/>
      <c r="C44" s="68"/>
      <c r="D44" s="68"/>
      <c r="E44" s="69"/>
      <c r="F44" s="66"/>
      <c r="G44" s="67"/>
      <c r="H44" s="70"/>
      <c r="I44" s="65"/>
      <c r="J44" s="67"/>
      <c r="K44" s="67"/>
      <c r="S44" s="39"/>
      <c r="T44" s="39"/>
    </row>
    <row r="45" spans="2:20" ht="27.6" x14ac:dyDescent="0.3">
      <c r="B45" s="71"/>
      <c r="C45" s="68"/>
      <c r="D45" s="68"/>
      <c r="E45" s="72"/>
      <c r="F45" s="67"/>
      <c r="G45" s="73" t="s">
        <v>70</v>
      </c>
      <c r="H45" s="74"/>
      <c r="I45" s="65"/>
      <c r="J45" s="67"/>
      <c r="K45" s="75" t="s">
        <v>71</v>
      </c>
      <c r="L45" s="51"/>
      <c r="S45" s="39"/>
      <c r="T45" s="39"/>
    </row>
    <row r="46" spans="2:20" ht="15.6" x14ac:dyDescent="0.3">
      <c r="B46" s="71"/>
      <c r="C46" s="71"/>
      <c r="D46" s="71"/>
      <c r="E46" s="55"/>
      <c r="F46" s="71"/>
      <c r="G46" s="241" t="s">
        <v>72</v>
      </c>
      <c r="H46" s="71"/>
      <c r="I46" s="71"/>
      <c r="J46" s="55"/>
      <c r="K46" s="242" t="s">
        <v>72</v>
      </c>
      <c r="S46" s="39"/>
      <c r="T46" s="39"/>
    </row>
    <row r="47" spans="2:20" ht="21.9" customHeight="1" thickBot="1" x14ac:dyDescent="0.35">
      <c r="B47" s="71"/>
      <c r="C47" s="76"/>
      <c r="D47" s="76"/>
      <c r="E47" s="77"/>
      <c r="F47" s="76"/>
      <c r="G47" s="78">
        <f>SUM(G11:G42)</f>
        <v>431635.47121135413</v>
      </c>
      <c r="H47" s="71"/>
      <c r="I47" s="71"/>
      <c r="J47" s="55"/>
      <c r="K47" s="79">
        <f>SUM(K11:K42)</f>
        <v>263823.23969964974</v>
      </c>
      <c r="S47" s="39"/>
      <c r="T47" s="39"/>
    </row>
    <row r="48" spans="2:20" ht="21.9" customHeight="1" thickBot="1" x14ac:dyDescent="0.35">
      <c r="B48" s="80" t="s">
        <v>73</v>
      </c>
      <c r="C48" s="76"/>
      <c r="D48" s="76"/>
      <c r="E48" s="71"/>
      <c r="F48" s="76"/>
      <c r="G48" s="81"/>
      <c r="H48" s="71"/>
      <c r="I48" s="71"/>
      <c r="J48" s="71"/>
      <c r="K48" s="77"/>
      <c r="S48" s="39"/>
      <c r="T48" s="39"/>
    </row>
    <row r="49" spans="1:18" ht="27.6" x14ac:dyDescent="0.25">
      <c r="B49" s="82" t="s">
        <v>74</v>
      </c>
      <c r="C49" s="83"/>
      <c r="D49" s="84">
        <v>7.0000000000000007E-2</v>
      </c>
      <c r="E49" s="55"/>
      <c r="F49" s="55"/>
      <c r="G49" s="55"/>
      <c r="H49" s="71"/>
      <c r="I49" s="85" t="s">
        <v>75</v>
      </c>
      <c r="J49" s="77"/>
      <c r="K49" s="55"/>
      <c r="L49" s="52"/>
      <c r="P49" s="53"/>
    </row>
    <row r="50" spans="1:18" ht="16.2" thickBot="1" x14ac:dyDescent="0.3">
      <c r="B50" s="86"/>
      <c r="C50" s="87"/>
      <c r="D50" s="55"/>
      <c r="E50" s="55"/>
      <c r="F50" s="71"/>
      <c r="G50" s="88"/>
      <c r="H50" s="88"/>
      <c r="I50" s="89">
        <f>G47/K47</f>
        <v>1.6360782761319688</v>
      </c>
      <c r="J50" s="55"/>
      <c r="K50" s="55"/>
      <c r="P50" s="53"/>
    </row>
    <row r="51" spans="1:18" ht="21.9" customHeight="1" x14ac:dyDescent="0.25">
      <c r="C51" s="52"/>
      <c r="D51" s="52"/>
      <c r="E51" s="53"/>
      <c r="F51" s="53"/>
      <c r="G51" s="53"/>
      <c r="H51" s="52"/>
      <c r="I51" s="53"/>
      <c r="J51" s="53"/>
    </row>
    <row r="52" spans="1:18" ht="21.9" customHeight="1" x14ac:dyDescent="0.25">
      <c r="C52" s="52"/>
      <c r="D52" s="52"/>
      <c r="E52" s="53"/>
      <c r="F52" s="53"/>
      <c r="G52" s="53"/>
      <c r="H52" s="52"/>
      <c r="I52" s="54"/>
      <c r="J52" s="53"/>
      <c r="K52" s="52"/>
    </row>
    <row r="53" spans="1:18" ht="21.9" customHeight="1" x14ac:dyDescent="0.25">
      <c r="A53" s="176"/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</row>
    <row r="54" spans="1:18" ht="31.5" customHeight="1" x14ac:dyDescent="0.4">
      <c r="A54" s="14"/>
      <c r="B54" s="102" t="s">
        <v>76</v>
      </c>
      <c r="C54" s="102"/>
      <c r="D54" s="102"/>
      <c r="E54" s="102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18" ht="21.9" customHeight="1" x14ac:dyDescent="0.4">
      <c r="A55" s="14"/>
      <c r="B55" s="102" t="s">
        <v>42</v>
      </c>
      <c r="C55" s="102"/>
      <c r="D55" s="102"/>
      <c r="E55" s="102"/>
      <c r="F55" s="102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8" ht="21.9" customHeight="1" x14ac:dyDescent="0.4">
      <c r="A56" s="14"/>
      <c r="B56" s="103" t="s">
        <v>43</v>
      </c>
      <c r="C56" s="103"/>
      <c r="D56" s="103"/>
      <c r="E56" s="104"/>
      <c r="F56" s="14"/>
      <c r="G56" s="105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1:18" ht="21.9" customHeight="1" x14ac:dyDescent="0.4">
      <c r="A57" s="14"/>
      <c r="B57" s="103" t="s">
        <v>77</v>
      </c>
      <c r="C57" s="103"/>
      <c r="D57" s="103"/>
      <c r="E57" s="106"/>
      <c r="F57" s="14"/>
      <c r="G57" s="105"/>
      <c r="H57"/>
      <c r="I57" s="14"/>
      <c r="J57" s="14"/>
      <c r="K57" s="14"/>
      <c r="L57" s="14"/>
      <c r="M57" s="14"/>
      <c r="N57" s="14"/>
      <c r="O57" s="14"/>
      <c r="P57" s="14"/>
      <c r="Q57" s="14"/>
    </row>
    <row r="58" spans="1:18" ht="43.5" customHeight="1" x14ac:dyDescent="0.35">
      <c r="A58" s="14"/>
      <c r="B58" s="551" t="s">
        <v>78</v>
      </c>
      <c r="C58" s="551"/>
      <c r="D58" s="551"/>
      <c r="E58" s="551"/>
      <c r="F58" s="551"/>
      <c r="G58" s="551"/>
      <c r="H58" s="551"/>
      <c r="I58" s="551"/>
      <c r="J58" s="551"/>
      <c r="K58" s="551"/>
      <c r="L58" s="14"/>
      <c r="M58" s="14"/>
      <c r="N58" s="14"/>
      <c r="O58" s="14"/>
      <c r="P58" s="14"/>
      <c r="Q58" s="14"/>
    </row>
    <row r="59" spans="1:18" ht="21.9" customHeight="1" x14ac:dyDescent="0.25">
      <c r="A59" s="14"/>
      <c r="B59" s="551" t="s">
        <v>79</v>
      </c>
      <c r="C59" s="551"/>
      <c r="D59" s="551"/>
      <c r="E59" s="551"/>
      <c r="F59" s="551"/>
      <c r="G59" s="551"/>
      <c r="H59" s="551"/>
      <c r="I59" s="551"/>
      <c r="J59" s="551"/>
      <c r="K59" s="551"/>
      <c r="L59" s="14"/>
      <c r="M59" s="14"/>
      <c r="N59" s="14"/>
      <c r="O59" s="14"/>
      <c r="P59" s="14"/>
      <c r="Q59" s="14"/>
    </row>
    <row r="60" spans="1:18" ht="21.9" customHeight="1" thickBot="1" x14ac:dyDescent="0.3">
      <c r="A60" s="14"/>
      <c r="B60" s="551"/>
      <c r="C60" s="551"/>
      <c r="D60" s="551"/>
      <c r="E60" s="551"/>
      <c r="F60" s="551"/>
      <c r="G60" s="551"/>
      <c r="H60" s="551"/>
      <c r="I60" s="551"/>
      <c r="J60" s="551"/>
      <c r="K60" s="551"/>
      <c r="L60" s="14"/>
      <c r="M60" s="14"/>
      <c r="N60" s="14"/>
      <c r="O60" s="14"/>
      <c r="P60" s="14"/>
      <c r="Q60" s="14"/>
    </row>
    <row r="61" spans="1:18" ht="33" customHeight="1" x14ac:dyDescent="0.25">
      <c r="A61" s="14"/>
      <c r="B61" s="14"/>
      <c r="C61" s="14"/>
      <c r="D61" s="552" t="s">
        <v>47</v>
      </c>
      <c r="E61" s="553"/>
      <c r="F61" s="553"/>
      <c r="G61" s="554"/>
      <c r="H61" s="555" t="s">
        <v>48</v>
      </c>
      <c r="I61" s="556"/>
      <c r="J61" s="556"/>
      <c r="K61" s="557"/>
      <c r="L61" s="14"/>
      <c r="M61" s="14"/>
      <c r="N61" s="14"/>
      <c r="O61" s="14"/>
      <c r="P61" s="14"/>
      <c r="Q61" s="14"/>
    </row>
    <row r="62" spans="1:18" ht="76.5" customHeight="1" x14ac:dyDescent="0.25">
      <c r="A62" s="14"/>
      <c r="B62" s="386" t="s">
        <v>30</v>
      </c>
      <c r="C62" s="387" t="s">
        <v>49</v>
      </c>
      <c r="D62" s="388" t="s">
        <v>50</v>
      </c>
      <c r="E62" s="389" t="s">
        <v>51</v>
      </c>
      <c r="F62" s="390" t="s">
        <v>52</v>
      </c>
      <c r="G62" s="391" t="s">
        <v>53</v>
      </c>
      <c r="H62" s="392" t="s">
        <v>50</v>
      </c>
      <c r="I62" s="393" t="s">
        <v>54</v>
      </c>
      <c r="J62" s="394" t="s">
        <v>55</v>
      </c>
      <c r="K62" s="243" t="s">
        <v>56</v>
      </c>
      <c r="L62" s="14"/>
      <c r="M62" s="14" t="s">
        <v>80</v>
      </c>
      <c r="N62" s="14"/>
      <c r="O62" s="14"/>
      <c r="P62" s="14"/>
      <c r="Q62" s="14"/>
    </row>
    <row r="63" spans="1:18" ht="24" customHeight="1" x14ac:dyDescent="0.25">
      <c r="A63" s="14"/>
      <c r="B63" s="280">
        <v>2018</v>
      </c>
      <c r="C63" s="281">
        <v>0</v>
      </c>
      <c r="D63" s="282"/>
      <c r="E63" s="107"/>
      <c r="F63" s="283">
        <f t="shared" ref="F63:F94" si="8">SUM(D63:E63)</f>
        <v>0</v>
      </c>
      <c r="G63" s="284">
        <f t="shared" ref="G63:G94" si="9">(F63/(1+0.07)^$C63)</f>
        <v>0</v>
      </c>
      <c r="H63" s="285"/>
      <c r="I63" s="107"/>
      <c r="J63" s="108">
        <f t="shared" ref="J63:J94" si="10">SUM(H63:I63)</f>
        <v>0</v>
      </c>
      <c r="K63" s="109">
        <f t="shared" ref="K63:K94" si="11">J63/(1+0.07)^$C63</f>
        <v>0</v>
      </c>
      <c r="L63" s="14"/>
      <c r="M63" s="14" t="s">
        <v>81</v>
      </c>
      <c r="N63" s="14"/>
      <c r="O63" s="14"/>
      <c r="P63" s="14"/>
      <c r="Q63" s="14"/>
    </row>
    <row r="64" spans="1:18" ht="24" customHeight="1" x14ac:dyDescent="0.25">
      <c r="A64" s="14"/>
      <c r="B64" s="280">
        <v>2019</v>
      </c>
      <c r="C64" s="281">
        <v>1</v>
      </c>
      <c r="D64" s="282"/>
      <c r="E64" s="107"/>
      <c r="F64" s="283">
        <f t="shared" si="8"/>
        <v>0</v>
      </c>
      <c r="G64" s="284">
        <f t="shared" si="9"/>
        <v>0</v>
      </c>
      <c r="H64" s="285"/>
      <c r="I64" s="107"/>
      <c r="J64" s="108">
        <f t="shared" si="10"/>
        <v>0</v>
      </c>
      <c r="K64" s="109">
        <f t="shared" si="11"/>
        <v>0</v>
      </c>
      <c r="L64" s="14"/>
      <c r="M64" s="14" t="s">
        <v>82</v>
      </c>
      <c r="N64" s="14"/>
      <c r="O64" s="14"/>
      <c r="P64" s="14"/>
      <c r="Q64" s="14"/>
    </row>
    <row r="65" spans="1:17" ht="24" customHeight="1" x14ac:dyDescent="0.25">
      <c r="A65" s="14"/>
      <c r="B65" s="280">
        <v>2020</v>
      </c>
      <c r="C65" s="281">
        <v>2</v>
      </c>
      <c r="D65" s="286">
        <v>160000</v>
      </c>
      <c r="E65" s="110">
        <v>3000</v>
      </c>
      <c r="F65" s="283">
        <f t="shared" si="8"/>
        <v>163000</v>
      </c>
      <c r="G65" s="284">
        <f t="shared" si="9"/>
        <v>142370.5127085335</v>
      </c>
      <c r="H65" s="285"/>
      <c r="I65" s="107">
        <v>3000</v>
      </c>
      <c r="J65" s="108">
        <f t="shared" si="10"/>
        <v>3000</v>
      </c>
      <c r="K65" s="109">
        <f t="shared" si="11"/>
        <v>2620.3161848196351</v>
      </c>
      <c r="L65" s="14"/>
      <c r="M65" s="14"/>
      <c r="N65" s="14"/>
      <c r="O65" s="14"/>
      <c r="P65" s="14"/>
      <c r="Q65" s="14"/>
    </row>
    <row r="66" spans="1:17" ht="24" customHeight="1" x14ac:dyDescent="0.25">
      <c r="A66" s="14"/>
      <c r="B66" s="280">
        <v>2021</v>
      </c>
      <c r="C66" s="281">
        <f>1+C65</f>
        <v>3</v>
      </c>
      <c r="D66" s="287"/>
      <c r="E66" s="110">
        <v>3000</v>
      </c>
      <c r="F66" s="283">
        <f>SUM(D66:E66)</f>
        <v>3000</v>
      </c>
      <c r="G66" s="284">
        <f t="shared" si="9"/>
        <v>2448.8936306725559</v>
      </c>
      <c r="H66" s="285"/>
      <c r="I66" s="107">
        <v>3000</v>
      </c>
      <c r="J66" s="108">
        <f t="shared" si="10"/>
        <v>3000</v>
      </c>
      <c r="K66" s="109">
        <f t="shared" si="11"/>
        <v>2448.8936306725559</v>
      </c>
      <c r="L66" s="14"/>
      <c r="M66" s="14"/>
      <c r="N66" s="14"/>
      <c r="O66" s="14"/>
      <c r="P66" s="14"/>
      <c r="Q66" s="14"/>
    </row>
    <row r="67" spans="1:17" ht="24" customHeight="1" x14ac:dyDescent="0.25">
      <c r="A67" s="14"/>
      <c r="B67" s="280">
        <v>2022</v>
      </c>
      <c r="C67" s="281">
        <f t="shared" ref="C67:C94" si="12">C66+1</f>
        <v>4</v>
      </c>
      <c r="D67" s="282"/>
      <c r="E67" s="110">
        <f t="shared" ref="E67:E74" si="13">E66</f>
        <v>3000</v>
      </c>
      <c r="F67" s="283">
        <f t="shared" si="8"/>
        <v>3000</v>
      </c>
      <c r="G67" s="284">
        <f t="shared" si="9"/>
        <v>2288.6856361425757</v>
      </c>
      <c r="H67" s="285"/>
      <c r="I67" s="107"/>
      <c r="J67" s="108">
        <f t="shared" si="10"/>
        <v>0</v>
      </c>
      <c r="K67" s="109">
        <f t="shared" si="11"/>
        <v>0</v>
      </c>
      <c r="L67" s="14"/>
      <c r="M67" s="14"/>
      <c r="N67" s="14"/>
      <c r="O67" s="14"/>
      <c r="P67" s="14"/>
      <c r="Q67" s="14"/>
    </row>
    <row r="68" spans="1:17" ht="24" customHeight="1" x14ac:dyDescent="0.25">
      <c r="A68" s="14"/>
      <c r="B68" s="280">
        <v>2023</v>
      </c>
      <c r="C68" s="281">
        <f t="shared" si="12"/>
        <v>5</v>
      </c>
      <c r="D68" s="282"/>
      <c r="E68" s="110">
        <f t="shared" si="13"/>
        <v>3000</v>
      </c>
      <c r="F68" s="283">
        <f t="shared" si="8"/>
        <v>3000</v>
      </c>
      <c r="G68" s="284">
        <f t="shared" si="9"/>
        <v>2138.9585384510051</v>
      </c>
      <c r="H68" s="285"/>
      <c r="I68" s="107"/>
      <c r="J68" s="108">
        <f t="shared" si="10"/>
        <v>0</v>
      </c>
      <c r="K68" s="109">
        <f t="shared" si="11"/>
        <v>0</v>
      </c>
      <c r="L68" s="14"/>
      <c r="M68" s="14"/>
      <c r="N68" s="14"/>
      <c r="O68" s="14"/>
      <c r="P68" s="14"/>
      <c r="Q68" s="14"/>
    </row>
    <row r="69" spans="1:17" ht="24" customHeight="1" thickBot="1" x14ac:dyDescent="0.3">
      <c r="A69" s="14"/>
      <c r="B69" s="280">
        <v>2024</v>
      </c>
      <c r="C69" s="281">
        <f t="shared" si="12"/>
        <v>6</v>
      </c>
      <c r="D69" s="282"/>
      <c r="E69" s="110">
        <f t="shared" si="13"/>
        <v>3000</v>
      </c>
      <c r="F69" s="283">
        <f t="shared" si="8"/>
        <v>3000</v>
      </c>
      <c r="G69" s="284">
        <f t="shared" si="9"/>
        <v>1999.0266714495376</v>
      </c>
      <c r="H69" s="285"/>
      <c r="I69" s="107"/>
      <c r="J69" s="108">
        <f t="shared" si="10"/>
        <v>0</v>
      </c>
      <c r="K69" s="109">
        <f t="shared" si="11"/>
        <v>0</v>
      </c>
      <c r="L69" s="14"/>
      <c r="M69" s="14" t="s">
        <v>83</v>
      </c>
      <c r="N69" s="14"/>
      <c r="O69" s="14"/>
      <c r="P69" s="14"/>
      <c r="Q69" s="14"/>
    </row>
    <row r="70" spans="1:17" ht="24" customHeight="1" x14ac:dyDescent="0.25">
      <c r="A70" s="14"/>
      <c r="B70" s="280">
        <v>2025</v>
      </c>
      <c r="C70" s="281">
        <f t="shared" si="12"/>
        <v>7</v>
      </c>
      <c r="D70" s="282" t="s">
        <v>84</v>
      </c>
      <c r="E70" s="110">
        <f t="shared" si="13"/>
        <v>3000</v>
      </c>
      <c r="F70" s="283">
        <f t="shared" si="8"/>
        <v>3000</v>
      </c>
      <c r="G70" s="284">
        <f t="shared" si="9"/>
        <v>1868.2492256537732</v>
      </c>
      <c r="H70" s="285"/>
      <c r="I70" s="107">
        <v>1500</v>
      </c>
      <c r="J70" s="108">
        <f t="shared" si="10"/>
        <v>1500</v>
      </c>
      <c r="K70" s="109">
        <f t="shared" si="11"/>
        <v>934.12461282688662</v>
      </c>
      <c r="L70" s="14"/>
      <c r="M70" s="244"/>
      <c r="N70" s="395"/>
      <c r="O70" s="395"/>
      <c r="P70" s="396"/>
      <c r="Q70" s="14"/>
    </row>
    <row r="71" spans="1:17" ht="24" customHeight="1" x14ac:dyDescent="0.25">
      <c r="A71" s="14"/>
      <c r="B71" s="280">
        <v>2026</v>
      </c>
      <c r="C71" s="111">
        <f t="shared" si="12"/>
        <v>8</v>
      </c>
      <c r="D71" s="282"/>
      <c r="E71" s="110">
        <v>750</v>
      </c>
      <c r="F71" s="283">
        <f t="shared" si="8"/>
        <v>750</v>
      </c>
      <c r="G71" s="284">
        <f t="shared" si="9"/>
        <v>436.50682842377881</v>
      </c>
      <c r="H71" s="285"/>
      <c r="I71" s="107">
        <v>1500</v>
      </c>
      <c r="J71" s="108">
        <f t="shared" si="10"/>
        <v>1500</v>
      </c>
      <c r="K71" s="109">
        <f t="shared" si="11"/>
        <v>873.01365684755763</v>
      </c>
      <c r="L71" s="14"/>
      <c r="M71" s="288" t="s">
        <v>85</v>
      </c>
      <c r="N71" s="14">
        <v>2038</v>
      </c>
      <c r="O71" s="14"/>
      <c r="P71" s="112"/>
      <c r="Q71" s="14"/>
    </row>
    <row r="72" spans="1:17" ht="24" customHeight="1" x14ac:dyDescent="0.25">
      <c r="A72" s="14"/>
      <c r="B72" s="280">
        <v>2027</v>
      </c>
      <c r="C72" s="111">
        <f t="shared" si="12"/>
        <v>9</v>
      </c>
      <c r="D72" s="282"/>
      <c r="E72" s="110">
        <f t="shared" si="13"/>
        <v>750</v>
      </c>
      <c r="F72" s="283">
        <f t="shared" si="8"/>
        <v>750</v>
      </c>
      <c r="G72" s="284">
        <f t="shared" si="9"/>
        <v>407.950306938111</v>
      </c>
      <c r="H72" s="285"/>
      <c r="I72" s="107">
        <v>1500</v>
      </c>
      <c r="J72" s="108">
        <f t="shared" si="10"/>
        <v>1500</v>
      </c>
      <c r="K72" s="109">
        <f t="shared" si="11"/>
        <v>815.900613876222</v>
      </c>
      <c r="L72" s="14"/>
      <c r="M72" s="288" t="s">
        <v>86</v>
      </c>
      <c r="N72" s="14">
        <v>2032</v>
      </c>
      <c r="O72" s="14">
        <v>2048</v>
      </c>
      <c r="P72" s="112"/>
      <c r="Q72" s="14"/>
    </row>
    <row r="73" spans="1:17" ht="24" customHeight="1" x14ac:dyDescent="0.25">
      <c r="A73" s="14"/>
      <c r="B73" s="280">
        <v>2028</v>
      </c>
      <c r="C73" s="111">
        <f t="shared" si="12"/>
        <v>10</v>
      </c>
      <c r="D73" s="282"/>
      <c r="E73" s="110">
        <f t="shared" si="13"/>
        <v>750</v>
      </c>
      <c r="F73" s="283">
        <f t="shared" si="8"/>
        <v>750</v>
      </c>
      <c r="G73" s="284">
        <f t="shared" si="9"/>
        <v>381.26196910103835</v>
      </c>
      <c r="H73" s="285"/>
      <c r="I73" s="107">
        <v>1500</v>
      </c>
      <c r="J73" s="108">
        <f t="shared" si="10"/>
        <v>1500</v>
      </c>
      <c r="K73" s="109">
        <f t="shared" si="11"/>
        <v>762.52393820207669</v>
      </c>
      <c r="L73" s="14"/>
      <c r="M73" s="289"/>
      <c r="N73" s="14"/>
      <c r="O73" s="14"/>
      <c r="P73" s="112"/>
      <c r="Q73" s="14"/>
    </row>
    <row r="74" spans="1:17" ht="24" customHeight="1" x14ac:dyDescent="0.25">
      <c r="A74" s="14"/>
      <c r="B74" s="280">
        <v>2029</v>
      </c>
      <c r="C74" s="111">
        <f t="shared" si="12"/>
        <v>11</v>
      </c>
      <c r="D74" s="282"/>
      <c r="E74" s="110">
        <f t="shared" si="13"/>
        <v>750</v>
      </c>
      <c r="F74" s="283">
        <f t="shared" si="8"/>
        <v>750</v>
      </c>
      <c r="G74" s="284">
        <f t="shared" si="9"/>
        <v>356.31959729069001</v>
      </c>
      <c r="H74" s="285"/>
      <c r="I74" s="107">
        <v>1500</v>
      </c>
      <c r="J74" s="108">
        <f t="shared" si="10"/>
        <v>1500</v>
      </c>
      <c r="K74" s="108">
        <f t="shared" si="11"/>
        <v>712.63919458138002</v>
      </c>
      <c r="L74" s="14"/>
      <c r="M74" s="288"/>
      <c r="N74" s="14"/>
      <c r="O74" s="14"/>
      <c r="P74" s="112"/>
      <c r="Q74" s="14"/>
    </row>
    <row r="75" spans="1:17" ht="24" customHeight="1" x14ac:dyDescent="0.25">
      <c r="A75" s="14"/>
      <c r="B75" s="280">
        <v>2030</v>
      </c>
      <c r="C75" s="111">
        <f t="shared" si="12"/>
        <v>12</v>
      </c>
      <c r="D75" s="282"/>
      <c r="E75" s="113">
        <v>750</v>
      </c>
      <c r="F75" s="283">
        <f t="shared" si="8"/>
        <v>750</v>
      </c>
      <c r="G75" s="284">
        <f t="shared" si="9"/>
        <v>333.00896943055147</v>
      </c>
      <c r="H75" s="285"/>
      <c r="I75" s="107">
        <v>1500</v>
      </c>
      <c r="J75" s="108">
        <f t="shared" si="10"/>
        <v>1500</v>
      </c>
      <c r="K75" s="108">
        <f t="shared" si="11"/>
        <v>666.01793886110295</v>
      </c>
      <c r="L75" s="14"/>
      <c r="M75" s="288"/>
      <c r="N75" s="14"/>
      <c r="O75" s="14"/>
      <c r="P75" s="112"/>
      <c r="Q75" s="14"/>
    </row>
    <row r="76" spans="1:17" ht="24" customHeight="1" x14ac:dyDescent="0.25">
      <c r="A76" s="14"/>
      <c r="B76" s="280">
        <v>2031</v>
      </c>
      <c r="C76" s="111">
        <f t="shared" si="12"/>
        <v>13</v>
      </c>
      <c r="D76" s="282"/>
      <c r="E76" s="113">
        <f>+E75</f>
        <v>750</v>
      </c>
      <c r="F76" s="283">
        <f t="shared" si="8"/>
        <v>750</v>
      </c>
      <c r="G76" s="284">
        <f t="shared" si="9"/>
        <v>311.22333591640319</v>
      </c>
      <c r="H76" s="285"/>
      <c r="I76" s="107">
        <v>1500</v>
      </c>
      <c r="J76" s="108">
        <f t="shared" si="10"/>
        <v>1500</v>
      </c>
      <c r="K76" s="108">
        <f t="shared" si="11"/>
        <v>622.44667183280637</v>
      </c>
      <c r="L76" s="14"/>
      <c r="M76" s="288" t="s">
        <v>87</v>
      </c>
      <c r="N76" s="14" t="s">
        <v>88</v>
      </c>
      <c r="O76" s="14" t="s">
        <v>89</v>
      </c>
      <c r="P76" s="112" t="s">
        <v>90</v>
      </c>
      <c r="Q76" s="14"/>
    </row>
    <row r="77" spans="1:17" ht="24" customHeight="1" x14ac:dyDescent="0.25">
      <c r="A77" s="14"/>
      <c r="B77" s="280">
        <v>2032</v>
      </c>
      <c r="C77" s="111">
        <f t="shared" si="12"/>
        <v>14</v>
      </c>
      <c r="D77" s="282"/>
      <c r="E77" s="113">
        <f t="shared" ref="E77:E93" si="14">+E76</f>
        <v>750</v>
      </c>
      <c r="F77" s="283">
        <f t="shared" si="8"/>
        <v>750</v>
      </c>
      <c r="G77" s="284">
        <f t="shared" si="9"/>
        <v>290.8629307629937</v>
      </c>
      <c r="H77" s="285">
        <v>60000</v>
      </c>
      <c r="I77" s="107">
        <v>1500</v>
      </c>
      <c r="J77" s="108">
        <f t="shared" si="10"/>
        <v>61500</v>
      </c>
      <c r="K77" s="108">
        <f t="shared" si="11"/>
        <v>23850.760322565482</v>
      </c>
      <c r="L77" s="14"/>
      <c r="M77" s="288"/>
      <c r="N77" s="14">
        <v>65</v>
      </c>
      <c r="O77" s="14">
        <v>45.6</v>
      </c>
      <c r="P77" s="112">
        <f>+O77*N77</f>
        <v>2964</v>
      </c>
      <c r="Q77" s="14"/>
    </row>
    <row r="78" spans="1:17" ht="24" customHeight="1" x14ac:dyDescent="0.25">
      <c r="A78" s="14"/>
      <c r="B78" s="280">
        <v>2033</v>
      </c>
      <c r="C78" s="111">
        <f t="shared" si="12"/>
        <v>15</v>
      </c>
      <c r="D78" s="282"/>
      <c r="E78" s="113">
        <f t="shared" si="14"/>
        <v>750</v>
      </c>
      <c r="F78" s="283">
        <f t="shared" si="8"/>
        <v>750</v>
      </c>
      <c r="G78" s="284">
        <f t="shared" si="9"/>
        <v>271.83451473176973</v>
      </c>
      <c r="H78" s="285"/>
      <c r="I78" s="107">
        <v>1500</v>
      </c>
      <c r="J78" s="108">
        <f t="shared" si="10"/>
        <v>1500</v>
      </c>
      <c r="K78" s="108">
        <f t="shared" si="11"/>
        <v>543.66902946353946</v>
      </c>
      <c r="L78" s="14"/>
      <c r="M78" s="288"/>
      <c r="N78" s="14"/>
      <c r="O78" s="14"/>
      <c r="P78" s="112"/>
      <c r="Q78" s="14"/>
    </row>
    <row r="79" spans="1:17" ht="24" customHeight="1" x14ac:dyDescent="0.25">
      <c r="A79" s="14"/>
      <c r="B79" s="280">
        <v>2034</v>
      </c>
      <c r="C79" s="111">
        <f t="shared" si="12"/>
        <v>16</v>
      </c>
      <c r="D79" s="282"/>
      <c r="E79" s="113">
        <f t="shared" si="14"/>
        <v>750</v>
      </c>
      <c r="F79" s="283">
        <f t="shared" si="8"/>
        <v>750</v>
      </c>
      <c r="G79" s="284">
        <f t="shared" si="9"/>
        <v>254.05094834744841</v>
      </c>
      <c r="H79" s="285"/>
      <c r="I79" s="107">
        <v>1500</v>
      </c>
      <c r="J79" s="108">
        <f t="shared" si="10"/>
        <v>1500</v>
      </c>
      <c r="K79" s="108">
        <f t="shared" si="11"/>
        <v>508.10189669489682</v>
      </c>
      <c r="L79" s="14"/>
      <c r="M79" s="288" t="s">
        <v>91</v>
      </c>
      <c r="N79" s="114">
        <v>40</v>
      </c>
      <c r="O79" s="115" t="s">
        <v>92</v>
      </c>
      <c r="P79" s="116">
        <f>ROUNDUP(+P77*N79,-3)</f>
        <v>119000</v>
      </c>
      <c r="Q79" s="14"/>
    </row>
    <row r="80" spans="1:17" ht="24" customHeight="1" x14ac:dyDescent="0.25">
      <c r="A80" s="14"/>
      <c r="B80" s="280">
        <v>2035</v>
      </c>
      <c r="C80" s="111">
        <f t="shared" si="12"/>
        <v>17</v>
      </c>
      <c r="D80" s="282"/>
      <c r="E80" s="113">
        <f t="shared" si="14"/>
        <v>750</v>
      </c>
      <c r="F80" s="283">
        <f t="shared" si="8"/>
        <v>750</v>
      </c>
      <c r="G80" s="284">
        <f t="shared" si="9"/>
        <v>237.4307928480826</v>
      </c>
      <c r="H80" s="285"/>
      <c r="I80" s="107">
        <v>1500</v>
      </c>
      <c r="J80" s="108">
        <f t="shared" si="10"/>
        <v>1500</v>
      </c>
      <c r="K80" s="108">
        <f t="shared" si="11"/>
        <v>474.86158569616521</v>
      </c>
      <c r="L80" s="14"/>
      <c r="M80" s="288" t="s">
        <v>93</v>
      </c>
      <c r="N80" s="117">
        <v>7.5</v>
      </c>
      <c r="O80" s="115" t="s">
        <v>92</v>
      </c>
      <c r="P80" s="116">
        <f>ROUNDUP(+P77*N80,-3)</f>
        <v>23000</v>
      </c>
      <c r="Q80" s="14"/>
    </row>
    <row r="81" spans="1:17" ht="24" customHeight="1" x14ac:dyDescent="0.25">
      <c r="A81" s="14"/>
      <c r="B81" s="280">
        <v>2036</v>
      </c>
      <c r="C81" s="111">
        <f t="shared" si="12"/>
        <v>18</v>
      </c>
      <c r="D81" s="282"/>
      <c r="E81" s="113">
        <f t="shared" si="14"/>
        <v>750</v>
      </c>
      <c r="F81" s="283">
        <f t="shared" si="8"/>
        <v>750</v>
      </c>
      <c r="G81" s="284">
        <f t="shared" si="9"/>
        <v>221.89793724119869</v>
      </c>
      <c r="H81" s="285"/>
      <c r="I81" s="107">
        <v>1500</v>
      </c>
      <c r="J81" s="108">
        <f t="shared" si="10"/>
        <v>1500</v>
      </c>
      <c r="K81" s="108">
        <f t="shared" si="11"/>
        <v>443.79587448239738</v>
      </c>
      <c r="L81" s="14"/>
      <c r="M81" s="288" t="s">
        <v>94</v>
      </c>
      <c r="N81" s="114">
        <v>20</v>
      </c>
      <c r="O81" s="115" t="s">
        <v>92</v>
      </c>
      <c r="P81" s="116">
        <f>ROUNDUP(+P77*N81,-3)</f>
        <v>60000</v>
      </c>
      <c r="Q81" s="14"/>
    </row>
    <row r="82" spans="1:17" ht="24" customHeight="1" x14ac:dyDescent="0.25">
      <c r="A82" s="14"/>
      <c r="B82" s="280">
        <v>2037</v>
      </c>
      <c r="C82" s="111">
        <f t="shared" si="12"/>
        <v>19</v>
      </c>
      <c r="D82" s="282"/>
      <c r="E82" s="113">
        <f t="shared" si="14"/>
        <v>750</v>
      </c>
      <c r="F82" s="283">
        <f t="shared" si="8"/>
        <v>750</v>
      </c>
      <c r="G82" s="284">
        <f t="shared" si="9"/>
        <v>207.38124975812963</v>
      </c>
      <c r="H82" s="285"/>
      <c r="I82" s="107">
        <v>1500</v>
      </c>
      <c r="J82" s="108">
        <f t="shared" si="10"/>
        <v>1500</v>
      </c>
      <c r="K82" s="108">
        <f t="shared" si="11"/>
        <v>414.76249951625925</v>
      </c>
      <c r="L82" s="14"/>
      <c r="M82" s="288" t="s">
        <v>95</v>
      </c>
      <c r="N82" s="114">
        <v>100000</v>
      </c>
      <c r="O82" s="115" t="s">
        <v>96</v>
      </c>
      <c r="P82" s="116">
        <v>100000</v>
      </c>
      <c r="Q82" s="14"/>
    </row>
    <row r="83" spans="1:17" ht="24" customHeight="1" thickBot="1" x14ac:dyDescent="0.3">
      <c r="A83" s="14"/>
      <c r="B83" s="280">
        <v>2038</v>
      </c>
      <c r="C83" s="111">
        <f t="shared" si="12"/>
        <v>20</v>
      </c>
      <c r="D83" s="282"/>
      <c r="E83" s="113">
        <f t="shared" si="14"/>
        <v>750</v>
      </c>
      <c r="F83" s="283">
        <f t="shared" si="8"/>
        <v>750</v>
      </c>
      <c r="G83" s="284">
        <f t="shared" si="9"/>
        <v>193.81425211040153</v>
      </c>
      <c r="H83" s="285">
        <v>119000</v>
      </c>
      <c r="I83" s="107">
        <v>1500</v>
      </c>
      <c r="J83" s="108">
        <f t="shared" si="10"/>
        <v>120500</v>
      </c>
      <c r="K83" s="108">
        <f t="shared" si="11"/>
        <v>31139.489839071179</v>
      </c>
      <c r="L83" s="14"/>
      <c r="M83" s="118" t="s">
        <v>97</v>
      </c>
      <c r="N83" s="119">
        <v>50</v>
      </c>
      <c r="O83" s="119" t="s">
        <v>98</v>
      </c>
      <c r="P83" s="120">
        <f>ROUNDUP(+P77*N83,-3)</f>
        <v>149000</v>
      </c>
      <c r="Q83" s="14"/>
    </row>
    <row r="84" spans="1:17" ht="24" customHeight="1" x14ac:dyDescent="0.25">
      <c r="A84" s="14"/>
      <c r="B84" s="280">
        <v>2039</v>
      </c>
      <c r="C84" s="111">
        <f t="shared" si="12"/>
        <v>21</v>
      </c>
      <c r="D84" s="282"/>
      <c r="E84" s="113">
        <f t="shared" si="14"/>
        <v>750</v>
      </c>
      <c r="F84" s="283">
        <f t="shared" si="8"/>
        <v>750</v>
      </c>
      <c r="G84" s="284">
        <f t="shared" si="9"/>
        <v>181.13481505645001</v>
      </c>
      <c r="H84" s="285"/>
      <c r="I84" s="107">
        <v>1500</v>
      </c>
      <c r="J84" s="108">
        <f t="shared" si="10"/>
        <v>1500</v>
      </c>
      <c r="K84" s="108">
        <f t="shared" si="11"/>
        <v>362.26963011290002</v>
      </c>
      <c r="L84" s="14"/>
      <c r="M84" s="14"/>
      <c r="N84" s="14"/>
      <c r="O84" s="14"/>
      <c r="P84" s="114"/>
      <c r="Q84" s="14"/>
    </row>
    <row r="85" spans="1:17" ht="24" customHeight="1" x14ac:dyDescent="0.25">
      <c r="A85" s="14"/>
      <c r="B85" s="280">
        <v>2040</v>
      </c>
      <c r="C85" s="111">
        <f t="shared" si="12"/>
        <v>22</v>
      </c>
      <c r="D85" s="282"/>
      <c r="E85" s="113">
        <f t="shared" si="14"/>
        <v>750</v>
      </c>
      <c r="F85" s="283">
        <f t="shared" si="8"/>
        <v>750</v>
      </c>
      <c r="G85" s="284">
        <f t="shared" si="9"/>
        <v>169.28487388453271</v>
      </c>
      <c r="H85" s="285"/>
      <c r="I85" s="107">
        <v>1500</v>
      </c>
      <c r="J85" s="108">
        <f t="shared" si="10"/>
        <v>1500</v>
      </c>
      <c r="K85" s="108">
        <f t="shared" si="11"/>
        <v>338.56974776906543</v>
      </c>
      <c r="L85" s="14"/>
      <c r="M85" s="14"/>
      <c r="N85" s="14"/>
      <c r="O85" s="14"/>
      <c r="P85" s="14"/>
      <c r="Q85" s="14"/>
    </row>
    <row r="86" spans="1:17" ht="24" customHeight="1" x14ac:dyDescent="0.25">
      <c r="A86" s="14"/>
      <c r="B86" s="280">
        <v>2041</v>
      </c>
      <c r="C86" s="111">
        <f t="shared" si="12"/>
        <v>23</v>
      </c>
      <c r="D86" s="282"/>
      <c r="E86" s="113">
        <f t="shared" si="14"/>
        <v>750</v>
      </c>
      <c r="F86" s="283">
        <f t="shared" si="8"/>
        <v>750</v>
      </c>
      <c r="G86" s="284">
        <f t="shared" si="9"/>
        <v>158.21016250890909</v>
      </c>
      <c r="H86" s="290"/>
      <c r="I86" s="107">
        <v>1500</v>
      </c>
      <c r="J86" s="108">
        <f t="shared" si="10"/>
        <v>1500</v>
      </c>
      <c r="K86" s="108">
        <f t="shared" si="11"/>
        <v>316.42032501781819</v>
      </c>
      <c r="L86" s="14"/>
      <c r="M86" s="14"/>
      <c r="N86" s="14"/>
      <c r="O86" s="14"/>
      <c r="P86" s="14"/>
      <c r="Q86" s="14"/>
    </row>
    <row r="87" spans="1:17" ht="24" customHeight="1" x14ac:dyDescent="0.25">
      <c r="A87" s="14"/>
      <c r="B87" s="280">
        <v>2042</v>
      </c>
      <c r="C87" s="111">
        <f t="shared" si="12"/>
        <v>24</v>
      </c>
      <c r="D87" s="282"/>
      <c r="E87" s="113">
        <f t="shared" si="14"/>
        <v>750</v>
      </c>
      <c r="F87" s="283">
        <f t="shared" si="8"/>
        <v>750</v>
      </c>
      <c r="G87" s="284">
        <f t="shared" si="9"/>
        <v>147.85996496159726</v>
      </c>
      <c r="H87" s="285"/>
      <c r="I87" s="107">
        <v>1500</v>
      </c>
      <c r="J87" s="108">
        <f t="shared" si="10"/>
        <v>1500</v>
      </c>
      <c r="K87" s="108">
        <f t="shared" si="11"/>
        <v>295.71992992319451</v>
      </c>
      <c r="L87" s="14"/>
      <c r="M87" s="14"/>
      <c r="N87" s="14"/>
      <c r="O87" s="14"/>
      <c r="P87" s="14"/>
      <c r="Q87" s="14"/>
    </row>
    <row r="88" spans="1:17" ht="24" customHeight="1" x14ac:dyDescent="0.25">
      <c r="A88" s="14"/>
      <c r="B88" s="280">
        <v>2043</v>
      </c>
      <c r="C88" s="111">
        <f t="shared" si="12"/>
        <v>25</v>
      </c>
      <c r="D88" s="282"/>
      <c r="E88" s="113">
        <f t="shared" si="14"/>
        <v>750</v>
      </c>
      <c r="F88" s="283">
        <f t="shared" si="8"/>
        <v>750</v>
      </c>
      <c r="G88" s="284">
        <f t="shared" si="9"/>
        <v>138.18688314167969</v>
      </c>
      <c r="H88" s="285"/>
      <c r="I88" s="107">
        <v>1500</v>
      </c>
      <c r="J88" s="108">
        <f t="shared" si="10"/>
        <v>1500</v>
      </c>
      <c r="K88" s="108">
        <f t="shared" si="11"/>
        <v>276.37376628335937</v>
      </c>
      <c r="L88" s="14"/>
      <c r="M88" s="14"/>
      <c r="N88" s="14"/>
      <c r="O88" s="14"/>
      <c r="P88" s="14"/>
      <c r="Q88" s="14"/>
    </row>
    <row r="89" spans="1:17" ht="24" customHeight="1" x14ac:dyDescent="0.25">
      <c r="A89" s="14"/>
      <c r="B89" s="280">
        <v>2044</v>
      </c>
      <c r="C89" s="111">
        <f t="shared" si="12"/>
        <v>26</v>
      </c>
      <c r="D89" s="282"/>
      <c r="E89" s="113">
        <f t="shared" si="14"/>
        <v>750</v>
      </c>
      <c r="F89" s="283">
        <f t="shared" si="8"/>
        <v>750</v>
      </c>
      <c r="G89" s="284">
        <f t="shared" si="9"/>
        <v>129.14661975857916</v>
      </c>
      <c r="H89" s="285"/>
      <c r="I89" s="107">
        <v>1500</v>
      </c>
      <c r="J89" s="108">
        <f t="shared" si="10"/>
        <v>1500</v>
      </c>
      <c r="K89" s="108">
        <f t="shared" si="11"/>
        <v>258.29323951715833</v>
      </c>
      <c r="L89" s="14"/>
      <c r="M89" s="14"/>
      <c r="N89" s="14"/>
      <c r="O89" s="14"/>
      <c r="P89" s="14"/>
      <c r="Q89" s="121"/>
    </row>
    <row r="90" spans="1:17" ht="24" customHeight="1" x14ac:dyDescent="0.25">
      <c r="A90" s="14"/>
      <c r="B90" s="280">
        <v>2045</v>
      </c>
      <c r="C90" s="111">
        <f t="shared" si="12"/>
        <v>27</v>
      </c>
      <c r="D90" s="291"/>
      <c r="E90" s="113">
        <f t="shared" si="14"/>
        <v>750</v>
      </c>
      <c r="F90" s="283">
        <f t="shared" si="8"/>
        <v>750</v>
      </c>
      <c r="G90" s="284">
        <f t="shared" si="9"/>
        <v>120.69777547530759</v>
      </c>
      <c r="H90" s="285"/>
      <c r="I90" s="107">
        <v>1500</v>
      </c>
      <c r="J90" s="108">
        <f t="shared" si="10"/>
        <v>1500</v>
      </c>
      <c r="K90" s="108">
        <f t="shared" si="11"/>
        <v>241.39555095061519</v>
      </c>
      <c r="L90" s="14"/>
      <c r="M90" s="14"/>
      <c r="N90" s="14"/>
      <c r="O90" s="14"/>
      <c r="P90" s="14"/>
      <c r="Q90" s="14"/>
    </row>
    <row r="91" spans="1:17" ht="24" customHeight="1" x14ac:dyDescent="0.25">
      <c r="A91" s="14"/>
      <c r="B91" s="280">
        <v>2046</v>
      </c>
      <c r="C91" s="111">
        <f t="shared" si="12"/>
        <v>28</v>
      </c>
      <c r="D91" s="282"/>
      <c r="E91" s="113">
        <f t="shared" si="14"/>
        <v>750</v>
      </c>
      <c r="F91" s="283">
        <f t="shared" si="8"/>
        <v>750</v>
      </c>
      <c r="G91" s="284">
        <f t="shared" si="9"/>
        <v>112.8016593227174</v>
      </c>
      <c r="H91" s="285"/>
      <c r="I91" s="107">
        <v>1500</v>
      </c>
      <c r="J91" s="108">
        <f t="shared" si="10"/>
        <v>1500</v>
      </c>
      <c r="K91" s="108">
        <f t="shared" si="11"/>
        <v>225.6033186454348</v>
      </c>
      <c r="L91" s="14"/>
      <c r="M91" s="14"/>
      <c r="N91" s="14"/>
      <c r="O91" s="14"/>
      <c r="P91" s="14"/>
      <c r="Q91" s="14"/>
    </row>
    <row r="92" spans="1:17" ht="24" customHeight="1" x14ac:dyDescent="0.25">
      <c r="A92" s="14"/>
      <c r="B92" s="280">
        <v>2047</v>
      </c>
      <c r="C92" s="111">
        <f t="shared" si="12"/>
        <v>29</v>
      </c>
      <c r="D92" s="282"/>
      <c r="E92" s="113">
        <f t="shared" si="14"/>
        <v>750</v>
      </c>
      <c r="F92" s="283">
        <f t="shared" si="8"/>
        <v>750</v>
      </c>
      <c r="G92" s="284">
        <f t="shared" si="9"/>
        <v>105.42211151655832</v>
      </c>
      <c r="H92" s="285"/>
      <c r="I92" s="107">
        <v>1500</v>
      </c>
      <c r="J92" s="108">
        <f t="shared" si="10"/>
        <v>1500</v>
      </c>
      <c r="K92" s="108">
        <f t="shared" si="11"/>
        <v>210.84422303311663</v>
      </c>
      <c r="L92" s="14"/>
      <c r="M92" s="14"/>
      <c r="N92" s="14"/>
      <c r="O92" s="121"/>
      <c r="P92" s="14"/>
      <c r="Q92" s="14"/>
    </row>
    <row r="93" spans="1:17" ht="24" customHeight="1" x14ac:dyDescent="0.25">
      <c r="A93" s="14"/>
      <c r="B93" s="280">
        <v>2048</v>
      </c>
      <c r="C93" s="111">
        <f t="shared" si="12"/>
        <v>30</v>
      </c>
      <c r="D93" s="282"/>
      <c r="E93" s="113">
        <f t="shared" si="14"/>
        <v>750</v>
      </c>
      <c r="F93" s="283">
        <f t="shared" si="8"/>
        <v>750</v>
      </c>
      <c r="G93" s="284">
        <f t="shared" si="9"/>
        <v>98.525337865942362</v>
      </c>
      <c r="H93" s="285">
        <f>60000</f>
        <v>60000</v>
      </c>
      <c r="I93" s="107">
        <v>1500</v>
      </c>
      <c r="J93" s="108">
        <f t="shared" si="10"/>
        <v>61500</v>
      </c>
      <c r="K93" s="108">
        <f t="shared" si="11"/>
        <v>8079.0777050072729</v>
      </c>
      <c r="L93" s="14"/>
      <c r="M93" s="14"/>
      <c r="N93" s="14"/>
      <c r="O93" s="14"/>
      <c r="P93" s="14"/>
      <c r="Q93" s="14"/>
    </row>
    <row r="94" spans="1:17" ht="24" customHeight="1" x14ac:dyDescent="0.25">
      <c r="A94" s="14"/>
      <c r="B94" s="397">
        <v>2049</v>
      </c>
      <c r="C94" s="398">
        <f t="shared" si="12"/>
        <v>31</v>
      </c>
      <c r="D94" s="122"/>
      <c r="E94" s="399">
        <f>+E93</f>
        <v>750</v>
      </c>
      <c r="F94" s="400">
        <f t="shared" si="8"/>
        <v>750</v>
      </c>
      <c r="G94" s="401">
        <f t="shared" si="9"/>
        <v>92.079755014899376</v>
      </c>
      <c r="H94" s="123"/>
      <c r="I94" s="402">
        <v>1500</v>
      </c>
      <c r="J94" s="403">
        <f t="shared" si="10"/>
        <v>1500</v>
      </c>
      <c r="K94" s="403">
        <f t="shared" si="11"/>
        <v>184.15951002979875</v>
      </c>
      <c r="L94" s="14"/>
      <c r="M94" s="14"/>
      <c r="N94" s="14"/>
      <c r="O94" s="124"/>
      <c r="P94" s="14"/>
      <c r="Q94" s="14"/>
    </row>
    <row r="95" spans="1:17" ht="18" customHeight="1" x14ac:dyDescent="0.25">
      <c r="A95" s="14"/>
      <c r="B95" s="125"/>
      <c r="C95" s="404"/>
      <c r="D95" s="111"/>
      <c r="E95" s="113"/>
      <c r="F95" s="126"/>
      <c r="G95" s="127"/>
      <c r="H95" s="113"/>
      <c r="I95" s="113"/>
      <c r="J95" s="127"/>
      <c r="K95" s="127"/>
      <c r="L95" s="14"/>
      <c r="M95" s="14"/>
      <c r="N95" s="14"/>
      <c r="O95" s="14"/>
      <c r="P95" s="14"/>
      <c r="Q95" s="14"/>
    </row>
    <row r="96" spans="1:17" ht="18" customHeight="1" thickBot="1" x14ac:dyDescent="0.3">
      <c r="A96" s="14"/>
      <c r="B96" s="125"/>
      <c r="C96" s="128"/>
      <c r="D96" s="128"/>
      <c r="E96" s="129"/>
      <c r="F96" s="126"/>
      <c r="G96" s="127"/>
      <c r="H96" s="130"/>
      <c r="I96" s="113"/>
      <c r="J96" s="127"/>
      <c r="K96" s="127"/>
      <c r="L96" s="14"/>
      <c r="M96" s="14"/>
      <c r="N96" s="14"/>
      <c r="O96" s="14"/>
      <c r="P96" s="14"/>
      <c r="Q96" s="14"/>
    </row>
    <row r="97" spans="1:18" ht="54.75" customHeight="1" x14ac:dyDescent="0.25">
      <c r="A97" s="14"/>
      <c r="B97" s="131"/>
      <c r="C97" s="128"/>
      <c r="D97" s="128"/>
      <c r="E97" s="132"/>
      <c r="F97" s="127"/>
      <c r="G97" s="133" t="s">
        <v>70</v>
      </c>
      <c r="H97" s="134"/>
      <c r="I97" s="113"/>
      <c r="J97" s="127"/>
      <c r="K97" s="135" t="s">
        <v>71</v>
      </c>
      <c r="L97" s="127"/>
      <c r="M97" s="14"/>
      <c r="N97" s="14"/>
      <c r="O97" s="14"/>
      <c r="P97" s="14"/>
      <c r="Q97" s="14"/>
    </row>
    <row r="98" spans="1:18" ht="18" customHeight="1" x14ac:dyDescent="0.25">
      <c r="A98" s="14"/>
      <c r="B98" s="131"/>
      <c r="C98" s="131"/>
      <c r="D98" s="131"/>
      <c r="E98" s="14"/>
      <c r="F98" s="131"/>
      <c r="G98" s="245" t="s">
        <v>72</v>
      </c>
      <c r="H98" s="131"/>
      <c r="I98" s="131"/>
      <c r="J98" s="14"/>
      <c r="K98" s="246" t="s">
        <v>72</v>
      </c>
      <c r="L98" s="14"/>
      <c r="M98" s="14"/>
      <c r="N98" s="14"/>
      <c r="O98" s="14"/>
      <c r="P98" s="14"/>
      <c r="Q98" s="14"/>
    </row>
    <row r="99" spans="1:18" ht="23.25" customHeight="1" thickBot="1" x14ac:dyDescent="0.3">
      <c r="A99" s="14"/>
      <c r="B99" s="131"/>
      <c r="C99" s="136"/>
      <c r="D99" s="136"/>
      <c r="E99" s="137"/>
      <c r="F99" s="136"/>
      <c r="G99" s="138">
        <f>SUM(G63:G94)</f>
        <v>158471.22000231073</v>
      </c>
      <c r="H99" s="131"/>
      <c r="I99" s="131"/>
      <c r="J99" s="14"/>
      <c r="K99" s="139">
        <f>SUM(K63:K94)</f>
        <v>78620.044436299897</v>
      </c>
      <c r="L99" s="14"/>
      <c r="M99" s="14"/>
      <c r="N99" s="14"/>
      <c r="O99" s="14"/>
      <c r="P99" s="14"/>
      <c r="Q99" s="14"/>
    </row>
    <row r="100" spans="1:18" ht="18" customHeight="1" thickBot="1" x14ac:dyDescent="0.3">
      <c r="A100" s="14"/>
      <c r="B100" s="140" t="s">
        <v>73</v>
      </c>
      <c r="C100" s="136"/>
      <c r="D100" s="136"/>
      <c r="E100" s="131"/>
      <c r="F100" s="136"/>
      <c r="G100" s="141"/>
      <c r="H100" s="131"/>
      <c r="I100" s="131"/>
      <c r="J100" s="131"/>
      <c r="K100" s="137"/>
      <c r="L100" s="14"/>
      <c r="M100" s="14"/>
      <c r="N100" s="14"/>
      <c r="O100" s="14"/>
      <c r="P100" s="14"/>
      <c r="Q100" s="14"/>
    </row>
    <row r="101" spans="1:18" ht="46.5" customHeight="1" x14ac:dyDescent="0.25">
      <c r="A101" s="14"/>
      <c r="B101" s="142" t="s">
        <v>74</v>
      </c>
      <c r="C101" s="143"/>
      <c r="D101" s="144">
        <v>7.0000000000000007E-2</v>
      </c>
      <c r="E101" s="14"/>
      <c r="F101" s="14"/>
      <c r="G101" s="14"/>
      <c r="H101" s="131"/>
      <c r="I101" s="174" t="s">
        <v>75</v>
      </c>
      <c r="J101" s="137"/>
      <c r="K101" s="14"/>
      <c r="L101" s="137"/>
      <c r="M101" s="14"/>
      <c r="N101" s="14"/>
      <c r="O101" s="14"/>
      <c r="P101" s="142"/>
      <c r="Q101" s="14"/>
    </row>
    <row r="102" spans="1:18" ht="18" customHeight="1" thickBot="1" x14ac:dyDescent="0.3">
      <c r="A102" s="14"/>
      <c r="B102" s="145"/>
      <c r="C102" s="146"/>
      <c r="D102" s="14"/>
      <c r="E102" s="14"/>
      <c r="F102" s="131"/>
      <c r="G102" s="147"/>
      <c r="H102" s="147"/>
      <c r="I102" s="175">
        <f>G99/K99</f>
        <v>2.0156592525295305</v>
      </c>
      <c r="J102" s="14"/>
      <c r="K102" s="14"/>
      <c r="L102" s="14"/>
      <c r="M102" s="14"/>
      <c r="N102" s="14"/>
      <c r="O102" s="14"/>
      <c r="P102" s="142"/>
      <c r="Q102" s="14"/>
    </row>
    <row r="103" spans="1:18" ht="18" customHeight="1" x14ac:dyDescent="0.25">
      <c r="A103" s="14"/>
      <c r="B103" s="14"/>
      <c r="C103" s="137"/>
      <c r="D103" s="137"/>
      <c r="E103" s="142"/>
      <c r="F103" s="142"/>
      <c r="G103" s="142"/>
      <c r="H103" s="137"/>
      <c r="I103" s="142"/>
      <c r="J103" s="142"/>
      <c r="K103" s="14"/>
      <c r="L103" s="14"/>
      <c r="M103" s="14"/>
      <c r="N103" s="14"/>
      <c r="O103" s="14"/>
      <c r="P103" s="14"/>
      <c r="Q103" s="14"/>
    </row>
    <row r="104" spans="1:18" ht="18" customHeight="1" x14ac:dyDescent="0.25"/>
    <row r="105" spans="1:18" ht="18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</row>
    <row r="106" spans="1:18" ht="24" customHeight="1" x14ac:dyDescent="0.4">
      <c r="A106" s="14"/>
      <c r="B106" s="102" t="s">
        <v>18</v>
      </c>
      <c r="C106" s="102"/>
      <c r="D106" s="102"/>
      <c r="E106" s="102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1:18" ht="31.5" customHeight="1" x14ac:dyDescent="0.4">
      <c r="A107" s="14"/>
      <c r="B107" s="102" t="s">
        <v>42</v>
      </c>
      <c r="C107" s="102"/>
      <c r="D107" s="102"/>
      <c r="E107" s="102"/>
      <c r="F107" s="10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1:18" ht="27" customHeight="1" x14ac:dyDescent="0.4">
      <c r="A108" s="14"/>
      <c r="B108" s="103" t="s">
        <v>43</v>
      </c>
      <c r="C108" s="103"/>
      <c r="D108" s="103"/>
      <c r="E108" s="104"/>
      <c r="F108" s="14"/>
      <c r="G108" s="105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8" ht="27" customHeight="1" x14ac:dyDescent="0.4">
      <c r="A109" s="14"/>
      <c r="B109" s="103" t="s">
        <v>99</v>
      </c>
      <c r="C109" s="103"/>
      <c r="D109" s="103"/>
      <c r="E109" s="106"/>
      <c r="F109" s="14"/>
      <c r="G109" s="105"/>
      <c r="H109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8" ht="27" customHeight="1" x14ac:dyDescent="0.35">
      <c r="A110" s="14"/>
      <c r="B110" s="551" t="s">
        <v>100</v>
      </c>
      <c r="C110" s="551"/>
      <c r="D110" s="551"/>
      <c r="E110" s="551"/>
      <c r="F110" s="551"/>
      <c r="G110" s="551"/>
      <c r="H110" s="551"/>
      <c r="I110" s="551"/>
      <c r="J110" s="551"/>
      <c r="K110" s="551"/>
      <c r="L110" s="14"/>
      <c r="M110" s="14"/>
      <c r="N110" s="14"/>
      <c r="O110" s="14"/>
      <c r="P110" s="14"/>
      <c r="Q110" s="14"/>
    </row>
    <row r="111" spans="1:18" ht="27" customHeight="1" x14ac:dyDescent="0.25">
      <c r="A111" s="14"/>
      <c r="B111" s="551" t="s">
        <v>101</v>
      </c>
      <c r="C111" s="551"/>
      <c r="D111" s="551"/>
      <c r="E111" s="551"/>
      <c r="F111" s="551"/>
      <c r="G111" s="551"/>
      <c r="H111" s="551"/>
      <c r="I111" s="551"/>
      <c r="J111" s="551"/>
      <c r="K111" s="551"/>
      <c r="L111" s="14"/>
      <c r="M111" s="14"/>
      <c r="N111" s="14"/>
      <c r="O111" s="14"/>
      <c r="P111" s="14"/>
      <c r="Q111" s="14"/>
    </row>
    <row r="112" spans="1:18" ht="27" customHeight="1" thickBot="1" x14ac:dyDescent="0.3">
      <c r="A112" s="14"/>
      <c r="B112" s="551"/>
      <c r="C112" s="551"/>
      <c r="D112" s="551"/>
      <c r="E112" s="551"/>
      <c r="F112" s="551"/>
      <c r="G112" s="551"/>
      <c r="H112" s="551"/>
      <c r="I112" s="551"/>
      <c r="J112" s="551"/>
      <c r="K112" s="551"/>
      <c r="L112" s="14"/>
      <c r="M112" s="14"/>
      <c r="N112" s="14"/>
      <c r="O112" s="14"/>
      <c r="P112" s="14"/>
      <c r="Q112" s="14"/>
    </row>
    <row r="113" spans="1:17" ht="27" customHeight="1" x14ac:dyDescent="0.25">
      <c r="A113" s="14"/>
      <c r="B113" s="14"/>
      <c r="C113" s="14"/>
      <c r="D113" s="552" t="s">
        <v>47</v>
      </c>
      <c r="E113" s="553"/>
      <c r="F113" s="553"/>
      <c r="G113" s="554"/>
      <c r="H113" s="555" t="s">
        <v>48</v>
      </c>
      <c r="I113" s="556"/>
      <c r="J113" s="556"/>
      <c r="K113" s="557"/>
      <c r="L113" s="14"/>
      <c r="M113" s="14"/>
      <c r="N113" s="14"/>
      <c r="O113" s="14"/>
      <c r="P113" s="14"/>
      <c r="Q113" s="14"/>
    </row>
    <row r="114" spans="1:17" ht="72.75" customHeight="1" x14ac:dyDescent="0.25">
      <c r="A114" s="14"/>
      <c r="B114" s="386" t="s">
        <v>30</v>
      </c>
      <c r="C114" s="387" t="s">
        <v>49</v>
      </c>
      <c r="D114" s="388" t="s">
        <v>50</v>
      </c>
      <c r="E114" s="389" t="s">
        <v>51</v>
      </c>
      <c r="F114" s="390" t="s">
        <v>52</v>
      </c>
      <c r="G114" s="391" t="s">
        <v>53</v>
      </c>
      <c r="H114" s="392" t="s">
        <v>50</v>
      </c>
      <c r="I114" s="393" t="s">
        <v>54</v>
      </c>
      <c r="J114" s="394" t="s">
        <v>55</v>
      </c>
      <c r="K114" s="243" t="s">
        <v>56</v>
      </c>
      <c r="L114" s="14"/>
      <c r="M114" s="14" t="s">
        <v>102</v>
      </c>
      <c r="N114" s="14"/>
      <c r="O114" s="14"/>
      <c r="P114" s="14"/>
      <c r="Q114" s="14"/>
    </row>
    <row r="115" spans="1:17" ht="27" customHeight="1" x14ac:dyDescent="0.25">
      <c r="A115" s="14"/>
      <c r="B115" s="280">
        <v>2018</v>
      </c>
      <c r="C115" s="281">
        <v>0</v>
      </c>
      <c r="D115" s="292"/>
      <c r="E115" s="110"/>
      <c r="F115" s="283">
        <f>SUM(D115:E115)</f>
        <v>0</v>
      </c>
      <c r="G115" s="284">
        <f t="shared" ref="G115:G146" si="15">(F115/(1+0.07)^$C115)</f>
        <v>0</v>
      </c>
      <c r="H115" s="293"/>
      <c r="I115" s="107"/>
      <c r="J115" s="108"/>
      <c r="K115" s="109">
        <f t="shared" ref="K115:K146" si="16">J115/(1+0.07)^$C115</f>
        <v>0</v>
      </c>
      <c r="L115" s="14"/>
      <c r="M115" s="14" t="s">
        <v>58</v>
      </c>
      <c r="N115" s="14"/>
      <c r="O115" s="14"/>
      <c r="P115" s="14"/>
      <c r="Q115" s="14"/>
    </row>
    <row r="116" spans="1:17" ht="27" customHeight="1" x14ac:dyDescent="0.25">
      <c r="A116" s="14"/>
      <c r="B116" s="280">
        <v>2019</v>
      </c>
      <c r="C116" s="281">
        <v>1</v>
      </c>
      <c r="D116" s="292"/>
      <c r="E116" s="110"/>
      <c r="F116" s="283">
        <f t="shared" ref="F116:F146" si="17">SUM(D116:E116)</f>
        <v>0</v>
      </c>
      <c r="G116" s="284">
        <f t="shared" si="15"/>
        <v>0</v>
      </c>
      <c r="H116" s="293"/>
      <c r="I116" s="107"/>
      <c r="J116" s="108"/>
      <c r="K116" s="109">
        <f t="shared" si="16"/>
        <v>0</v>
      </c>
      <c r="L116" s="14"/>
      <c r="M116" s="14" t="s">
        <v>103</v>
      </c>
      <c r="N116" s="14"/>
      <c r="O116" s="14"/>
      <c r="P116" s="14"/>
      <c r="Q116" s="14"/>
    </row>
    <row r="117" spans="1:17" ht="27" customHeight="1" x14ac:dyDescent="0.25">
      <c r="A117" s="14"/>
      <c r="B117" s="280">
        <v>2020</v>
      </c>
      <c r="C117" s="281">
        <v>2</v>
      </c>
      <c r="D117" s="294">
        <f>142000+100000</f>
        <v>242000</v>
      </c>
      <c r="E117" s="110">
        <v>5000</v>
      </c>
      <c r="F117" s="283">
        <f t="shared" si="17"/>
        <v>247000</v>
      </c>
      <c r="G117" s="284">
        <f t="shared" si="15"/>
        <v>215739.36588348326</v>
      </c>
      <c r="H117" s="293"/>
      <c r="I117" s="110">
        <v>5000</v>
      </c>
      <c r="J117" s="108">
        <f t="shared" ref="J117:J119" si="18">SUM(H117:I117)</f>
        <v>5000</v>
      </c>
      <c r="K117" s="109">
        <f t="shared" si="16"/>
        <v>4367.1936413660578</v>
      </c>
      <c r="L117" s="14"/>
      <c r="M117" s="14"/>
      <c r="N117" s="14"/>
      <c r="O117" s="14"/>
      <c r="P117" s="14"/>
      <c r="Q117" s="14"/>
    </row>
    <row r="118" spans="1:17" ht="27" customHeight="1" x14ac:dyDescent="0.25">
      <c r="A118" s="14"/>
      <c r="B118" s="280">
        <v>2021</v>
      </c>
      <c r="C118" s="281">
        <f>1+C117</f>
        <v>3</v>
      </c>
      <c r="D118" s="294"/>
      <c r="E118" s="110">
        <v>5000</v>
      </c>
      <c r="F118" s="283">
        <f t="shared" si="17"/>
        <v>5000</v>
      </c>
      <c r="G118" s="284">
        <f t="shared" si="15"/>
        <v>4081.4893844542598</v>
      </c>
      <c r="H118" s="293"/>
      <c r="I118" s="110">
        <v>5000</v>
      </c>
      <c r="J118" s="108">
        <f t="shared" si="18"/>
        <v>5000</v>
      </c>
      <c r="K118" s="109">
        <f t="shared" si="16"/>
        <v>4081.4893844542598</v>
      </c>
      <c r="L118" s="14"/>
      <c r="M118" s="14"/>
      <c r="N118" s="14"/>
      <c r="O118" s="14"/>
      <c r="P118" s="14"/>
      <c r="Q118" s="14"/>
    </row>
    <row r="119" spans="1:17" ht="27" customHeight="1" x14ac:dyDescent="0.25">
      <c r="A119" s="14"/>
      <c r="B119" s="280">
        <v>2022</v>
      </c>
      <c r="C119" s="281">
        <f t="shared" ref="C119:C146" si="19">C118+1</f>
        <v>4</v>
      </c>
      <c r="D119" s="292"/>
      <c r="E119" s="110">
        <f t="shared" ref="E119:E121" si="20">E118</f>
        <v>5000</v>
      </c>
      <c r="F119" s="283">
        <f t="shared" si="17"/>
        <v>5000</v>
      </c>
      <c r="G119" s="284">
        <f t="shared" si="15"/>
        <v>3814.4760602376259</v>
      </c>
      <c r="H119" s="293"/>
      <c r="I119" s="110">
        <f t="shared" ref="I119" si="21">I118</f>
        <v>5000</v>
      </c>
      <c r="J119" s="108">
        <f t="shared" si="18"/>
        <v>5000</v>
      </c>
      <c r="K119" s="109">
        <f t="shared" si="16"/>
        <v>3814.4760602376259</v>
      </c>
      <c r="L119" s="14"/>
      <c r="M119" s="14"/>
      <c r="N119" s="14"/>
      <c r="O119" s="14"/>
      <c r="P119" s="14"/>
      <c r="Q119" s="14"/>
    </row>
    <row r="120" spans="1:17" ht="27" customHeight="1" x14ac:dyDescent="0.25">
      <c r="A120" s="14"/>
      <c r="B120" s="280">
        <v>2023</v>
      </c>
      <c r="C120" s="281">
        <f t="shared" si="19"/>
        <v>5</v>
      </c>
      <c r="D120" s="292"/>
      <c r="E120" s="110">
        <f t="shared" si="20"/>
        <v>5000</v>
      </c>
      <c r="F120" s="283">
        <f t="shared" si="17"/>
        <v>5000</v>
      </c>
      <c r="G120" s="284">
        <f t="shared" si="15"/>
        <v>3564.9308974183418</v>
      </c>
      <c r="H120" s="293"/>
      <c r="I120" s="107">
        <v>0</v>
      </c>
      <c r="J120" s="108"/>
      <c r="K120" s="109">
        <f t="shared" si="16"/>
        <v>0</v>
      </c>
      <c r="L120" s="14"/>
      <c r="M120" s="14"/>
      <c r="N120" s="14"/>
      <c r="O120" s="14"/>
      <c r="P120" s="14"/>
      <c r="Q120" s="14"/>
    </row>
    <row r="121" spans="1:17" ht="27" customHeight="1" thickBot="1" x14ac:dyDescent="0.3">
      <c r="A121" s="14"/>
      <c r="B121" s="280">
        <v>2024</v>
      </c>
      <c r="C121" s="281">
        <f t="shared" si="19"/>
        <v>6</v>
      </c>
      <c r="D121" s="292"/>
      <c r="E121" s="110">
        <f t="shared" si="20"/>
        <v>5000</v>
      </c>
      <c r="F121" s="283">
        <f t="shared" si="17"/>
        <v>5000</v>
      </c>
      <c r="G121" s="284">
        <f t="shared" si="15"/>
        <v>3331.7111190825626</v>
      </c>
      <c r="H121" s="293"/>
      <c r="I121" s="107">
        <v>0</v>
      </c>
      <c r="J121" s="108"/>
      <c r="K121" s="109">
        <f t="shared" si="16"/>
        <v>0</v>
      </c>
      <c r="L121" s="14"/>
      <c r="M121" s="14" t="s">
        <v>104</v>
      </c>
      <c r="N121" s="14"/>
      <c r="O121" s="14"/>
      <c r="P121" s="14"/>
      <c r="Q121" s="14"/>
    </row>
    <row r="122" spans="1:17" ht="27" customHeight="1" x14ac:dyDescent="0.3">
      <c r="A122" s="14"/>
      <c r="B122" s="280">
        <v>2025</v>
      </c>
      <c r="C122" s="281">
        <f t="shared" si="19"/>
        <v>7</v>
      </c>
      <c r="D122" s="292" t="s">
        <v>60</v>
      </c>
      <c r="E122" s="110">
        <v>5000</v>
      </c>
      <c r="F122" s="283">
        <f t="shared" si="17"/>
        <v>5000</v>
      </c>
      <c r="G122" s="284">
        <f t="shared" si="15"/>
        <v>3113.7487094229555</v>
      </c>
      <c r="H122" s="293"/>
      <c r="I122" s="107">
        <v>0</v>
      </c>
      <c r="J122" s="108"/>
      <c r="K122" s="109">
        <f t="shared" si="16"/>
        <v>0</v>
      </c>
      <c r="L122" s="14"/>
      <c r="M122" s="247"/>
      <c r="N122" s="405"/>
      <c r="O122" s="405"/>
      <c r="P122" s="406"/>
      <c r="Q122" s="14"/>
    </row>
    <row r="123" spans="1:17" ht="27" customHeight="1" x14ac:dyDescent="0.3">
      <c r="A123" s="14"/>
      <c r="B123" s="280">
        <v>2026</v>
      </c>
      <c r="C123" s="111">
        <f t="shared" si="19"/>
        <v>8</v>
      </c>
      <c r="D123" s="292"/>
      <c r="E123" s="110">
        <v>750</v>
      </c>
      <c r="F123" s="283">
        <f t="shared" si="17"/>
        <v>750</v>
      </c>
      <c r="G123" s="284">
        <f t="shared" si="15"/>
        <v>436.50682842377881</v>
      </c>
      <c r="H123" s="293"/>
      <c r="I123" s="107">
        <v>1500</v>
      </c>
      <c r="J123" s="108">
        <f t="shared" ref="J123:J146" si="22">SUM(H123:I123)</f>
        <v>1500</v>
      </c>
      <c r="K123" s="109">
        <f t="shared" si="16"/>
        <v>873.01365684755763</v>
      </c>
      <c r="L123" s="14"/>
      <c r="M123" s="295" t="s">
        <v>61</v>
      </c>
      <c r="N123" s="158">
        <v>2040</v>
      </c>
      <c r="O123" s="158"/>
      <c r="P123" s="159"/>
      <c r="Q123" s="14"/>
    </row>
    <row r="124" spans="1:17" ht="27" customHeight="1" x14ac:dyDescent="0.3">
      <c r="A124" s="14"/>
      <c r="B124" s="280">
        <v>2027</v>
      </c>
      <c r="C124" s="111">
        <f t="shared" si="19"/>
        <v>9</v>
      </c>
      <c r="D124" s="292"/>
      <c r="E124" s="110">
        <v>750</v>
      </c>
      <c r="F124" s="283">
        <f t="shared" si="17"/>
        <v>750</v>
      </c>
      <c r="G124" s="284">
        <f t="shared" si="15"/>
        <v>407.950306938111</v>
      </c>
      <c r="H124" s="293"/>
      <c r="I124" s="107">
        <v>1500</v>
      </c>
      <c r="J124" s="108">
        <f t="shared" si="22"/>
        <v>1500</v>
      </c>
      <c r="K124" s="109">
        <f t="shared" si="16"/>
        <v>815.900613876222</v>
      </c>
      <c r="L124" s="14"/>
      <c r="M124" s="295" t="s">
        <v>62</v>
      </c>
      <c r="N124" s="158">
        <v>2033</v>
      </c>
      <c r="O124" s="158">
        <v>2049</v>
      </c>
      <c r="P124" s="159"/>
      <c r="Q124" s="14"/>
    </row>
    <row r="125" spans="1:17" ht="27" customHeight="1" x14ac:dyDescent="0.3">
      <c r="A125" s="14"/>
      <c r="B125" s="280">
        <v>2028</v>
      </c>
      <c r="C125" s="111">
        <f t="shared" si="19"/>
        <v>10</v>
      </c>
      <c r="D125" s="292"/>
      <c r="E125" s="110">
        <v>750</v>
      </c>
      <c r="F125" s="283">
        <f t="shared" si="17"/>
        <v>750</v>
      </c>
      <c r="G125" s="284">
        <f t="shared" si="15"/>
        <v>381.26196910103835</v>
      </c>
      <c r="H125" s="293"/>
      <c r="I125" s="107">
        <v>1500</v>
      </c>
      <c r="J125" s="108">
        <f t="shared" si="22"/>
        <v>1500</v>
      </c>
      <c r="K125" s="109">
        <f t="shared" si="16"/>
        <v>762.52393820207669</v>
      </c>
      <c r="L125" s="14"/>
      <c r="M125" s="295"/>
      <c r="N125" s="158"/>
      <c r="O125" s="158"/>
      <c r="P125" s="159"/>
      <c r="Q125" s="14"/>
    </row>
    <row r="126" spans="1:17" ht="27" customHeight="1" x14ac:dyDescent="0.3">
      <c r="A126" s="14"/>
      <c r="B126" s="280">
        <v>2029</v>
      </c>
      <c r="C126" s="111">
        <f t="shared" si="19"/>
        <v>11</v>
      </c>
      <c r="D126" s="292"/>
      <c r="E126" s="110">
        <v>750</v>
      </c>
      <c r="F126" s="283">
        <f t="shared" si="17"/>
        <v>750</v>
      </c>
      <c r="G126" s="284">
        <f t="shared" si="15"/>
        <v>356.31959729069001</v>
      </c>
      <c r="H126" s="293"/>
      <c r="I126" s="107">
        <v>1500</v>
      </c>
      <c r="J126" s="108">
        <f t="shared" si="22"/>
        <v>1500</v>
      </c>
      <c r="K126" s="108">
        <f t="shared" si="16"/>
        <v>712.63919458138002</v>
      </c>
      <c r="L126" s="14"/>
      <c r="M126" s="295"/>
      <c r="N126" s="158"/>
      <c r="O126" s="160"/>
      <c r="P126" s="161"/>
      <c r="Q126" s="162"/>
    </row>
    <row r="127" spans="1:17" ht="27" customHeight="1" x14ac:dyDescent="0.3">
      <c r="A127" s="14"/>
      <c r="B127" s="280">
        <v>2030</v>
      </c>
      <c r="C127" s="111">
        <f t="shared" si="19"/>
        <v>12</v>
      </c>
      <c r="D127" s="292"/>
      <c r="E127" s="110">
        <v>750</v>
      </c>
      <c r="F127" s="283">
        <f t="shared" si="17"/>
        <v>750</v>
      </c>
      <c r="G127" s="284">
        <f t="shared" si="15"/>
        <v>333.00896943055147</v>
      </c>
      <c r="H127" s="293"/>
      <c r="I127" s="107">
        <v>1500</v>
      </c>
      <c r="J127" s="108">
        <f t="shared" si="22"/>
        <v>1500</v>
      </c>
      <c r="K127" s="108">
        <f t="shared" si="16"/>
        <v>666.01793886110295</v>
      </c>
      <c r="L127" s="14"/>
      <c r="M127" s="295"/>
      <c r="N127" s="158"/>
      <c r="O127" s="158"/>
      <c r="P127" s="159"/>
      <c r="Q127"/>
    </row>
    <row r="128" spans="1:17" ht="27" customHeight="1" x14ac:dyDescent="0.3">
      <c r="A128" s="14"/>
      <c r="B128" s="280">
        <v>2031</v>
      </c>
      <c r="C128" s="111">
        <f t="shared" si="19"/>
        <v>13</v>
      </c>
      <c r="D128" s="292"/>
      <c r="E128" s="110">
        <v>750</v>
      </c>
      <c r="F128" s="283">
        <f t="shared" si="17"/>
        <v>750</v>
      </c>
      <c r="G128" s="284">
        <f t="shared" si="15"/>
        <v>311.22333591640319</v>
      </c>
      <c r="H128" s="293"/>
      <c r="I128" s="107">
        <v>1500</v>
      </c>
      <c r="J128" s="108">
        <f t="shared" si="22"/>
        <v>1500</v>
      </c>
      <c r="K128" s="108">
        <f t="shared" si="16"/>
        <v>622.44667183280637</v>
      </c>
      <c r="L128" s="14"/>
      <c r="M128" s="295"/>
      <c r="N128" s="158"/>
      <c r="O128" s="158"/>
      <c r="P128" s="159">
        <f>+O128*N128</f>
        <v>0</v>
      </c>
      <c r="Q128"/>
    </row>
    <row r="129" spans="1:17" ht="27" customHeight="1" x14ac:dyDescent="0.3">
      <c r="A129" s="14"/>
      <c r="B129" s="280">
        <v>2032</v>
      </c>
      <c r="C129" s="111">
        <f t="shared" si="19"/>
        <v>14</v>
      </c>
      <c r="D129" s="292"/>
      <c r="E129" s="110">
        <v>750</v>
      </c>
      <c r="F129" s="283">
        <f t="shared" si="17"/>
        <v>750</v>
      </c>
      <c r="G129" s="284">
        <f t="shared" si="15"/>
        <v>290.8629307629937</v>
      </c>
      <c r="H129" s="293"/>
      <c r="I129" s="107">
        <v>1500</v>
      </c>
      <c r="J129" s="108">
        <f t="shared" si="22"/>
        <v>1500</v>
      </c>
      <c r="K129" s="108">
        <f t="shared" si="16"/>
        <v>581.7258615259874</v>
      </c>
      <c r="L129" s="14"/>
      <c r="M129" s="295" t="s">
        <v>105</v>
      </c>
      <c r="N129" s="158">
        <v>39.340000000000003</v>
      </c>
      <c r="O129" s="158">
        <v>180</v>
      </c>
      <c r="P129" s="159">
        <f>+O129*N129</f>
        <v>7081.2000000000007</v>
      </c>
      <c r="Q129"/>
    </row>
    <row r="130" spans="1:17" ht="27" customHeight="1" x14ac:dyDescent="0.3">
      <c r="A130" s="14"/>
      <c r="B130" s="280">
        <v>2033</v>
      </c>
      <c r="C130" s="111">
        <f t="shared" si="19"/>
        <v>15</v>
      </c>
      <c r="D130" s="292"/>
      <c r="E130" s="110">
        <v>750</v>
      </c>
      <c r="F130" s="283">
        <f t="shared" si="17"/>
        <v>750</v>
      </c>
      <c r="G130" s="284">
        <f t="shared" si="15"/>
        <v>271.83451473176973</v>
      </c>
      <c r="H130" s="293">
        <v>142000</v>
      </c>
      <c r="I130" s="107">
        <v>1500</v>
      </c>
      <c r="J130" s="108">
        <f t="shared" si="22"/>
        <v>143500</v>
      </c>
      <c r="K130" s="108">
        <f t="shared" si="16"/>
        <v>52011.003818678611</v>
      </c>
      <c r="L130" s="14"/>
      <c r="M130" s="295"/>
      <c r="N130" s="158"/>
      <c r="O130" s="158"/>
      <c r="P130" s="159"/>
      <c r="Q130"/>
    </row>
    <row r="131" spans="1:17" ht="27" customHeight="1" x14ac:dyDescent="0.3">
      <c r="A131" s="14"/>
      <c r="B131" s="280">
        <v>2034</v>
      </c>
      <c r="C131" s="111">
        <f t="shared" si="19"/>
        <v>16</v>
      </c>
      <c r="D131" s="292"/>
      <c r="E131" s="110">
        <v>750</v>
      </c>
      <c r="F131" s="283">
        <f t="shared" si="17"/>
        <v>750</v>
      </c>
      <c r="G131" s="284">
        <f t="shared" si="15"/>
        <v>254.05094834744841</v>
      </c>
      <c r="H131" s="293"/>
      <c r="I131" s="107">
        <v>1500</v>
      </c>
      <c r="J131" s="108">
        <f t="shared" si="22"/>
        <v>1500</v>
      </c>
      <c r="K131" s="108">
        <f t="shared" si="16"/>
        <v>508.10189669489682</v>
      </c>
      <c r="L131" s="14"/>
      <c r="M131" s="295" t="s">
        <v>65</v>
      </c>
      <c r="N131" s="163">
        <v>40</v>
      </c>
      <c r="O131" s="158"/>
      <c r="P131" s="164">
        <f>ROUNDUP(+P129*N131,-3)</f>
        <v>284000</v>
      </c>
      <c r="Q131"/>
    </row>
    <row r="132" spans="1:17" ht="27" customHeight="1" x14ac:dyDescent="0.3">
      <c r="A132" s="14"/>
      <c r="B132" s="280">
        <v>2035</v>
      </c>
      <c r="C132" s="111">
        <f t="shared" si="19"/>
        <v>17</v>
      </c>
      <c r="D132" s="292"/>
      <c r="E132" s="110">
        <v>750</v>
      </c>
      <c r="F132" s="283">
        <f t="shared" si="17"/>
        <v>750</v>
      </c>
      <c r="G132" s="284">
        <f t="shared" si="15"/>
        <v>237.4307928480826</v>
      </c>
      <c r="H132" s="293"/>
      <c r="I132" s="107">
        <v>1500</v>
      </c>
      <c r="J132" s="108">
        <f t="shared" si="22"/>
        <v>1500</v>
      </c>
      <c r="K132" s="108">
        <f t="shared" si="16"/>
        <v>474.86158569616521</v>
      </c>
      <c r="L132" s="14"/>
      <c r="M132" s="295" t="s">
        <v>93</v>
      </c>
      <c r="N132" s="158">
        <v>7.5</v>
      </c>
      <c r="O132" s="158"/>
      <c r="P132" s="164">
        <f>ROUNDUP(+P129*N132,-3)</f>
        <v>54000</v>
      </c>
      <c r="Q132"/>
    </row>
    <row r="133" spans="1:17" ht="27" customHeight="1" x14ac:dyDescent="0.3">
      <c r="A133" s="14"/>
      <c r="B133" s="280">
        <v>2036</v>
      </c>
      <c r="C133" s="111">
        <f t="shared" si="19"/>
        <v>18</v>
      </c>
      <c r="D133" s="292"/>
      <c r="E133" s="110">
        <v>750</v>
      </c>
      <c r="F133" s="283">
        <f t="shared" si="17"/>
        <v>750</v>
      </c>
      <c r="G133" s="284">
        <f t="shared" si="15"/>
        <v>221.89793724119869</v>
      </c>
      <c r="H133" s="293"/>
      <c r="I133" s="107">
        <v>1500</v>
      </c>
      <c r="J133" s="108">
        <f t="shared" si="22"/>
        <v>1500</v>
      </c>
      <c r="K133" s="108">
        <f t="shared" si="16"/>
        <v>443.79587448239738</v>
      </c>
      <c r="L133" s="14"/>
      <c r="M133" s="295" t="s">
        <v>67</v>
      </c>
      <c r="N133" s="158">
        <v>20</v>
      </c>
      <c r="O133" s="158"/>
      <c r="P133" s="164">
        <f>ROUNDUP(+P129*N133,-3)</f>
        <v>142000</v>
      </c>
      <c r="Q133"/>
    </row>
    <row r="134" spans="1:17" ht="27" customHeight="1" x14ac:dyDescent="0.3">
      <c r="A134" s="14"/>
      <c r="B134" s="280">
        <v>2037</v>
      </c>
      <c r="C134" s="111">
        <f t="shared" si="19"/>
        <v>19</v>
      </c>
      <c r="D134" s="292"/>
      <c r="E134" s="110">
        <v>750</v>
      </c>
      <c r="F134" s="283">
        <f t="shared" si="17"/>
        <v>750</v>
      </c>
      <c r="G134" s="284">
        <f t="shared" si="15"/>
        <v>207.38124975812963</v>
      </c>
      <c r="H134" s="293"/>
      <c r="I134" s="107">
        <v>1500</v>
      </c>
      <c r="J134" s="108">
        <f t="shared" si="22"/>
        <v>1500</v>
      </c>
      <c r="K134" s="108">
        <f t="shared" si="16"/>
        <v>414.76249951625925</v>
      </c>
      <c r="L134" s="14"/>
      <c r="M134" s="295" t="s">
        <v>68</v>
      </c>
      <c r="N134" s="158">
        <v>100000</v>
      </c>
      <c r="O134" s="158"/>
      <c r="P134" s="164">
        <f>+N134</f>
        <v>100000</v>
      </c>
      <c r="Q134"/>
    </row>
    <row r="135" spans="1:17" ht="27" customHeight="1" thickBot="1" x14ac:dyDescent="0.35">
      <c r="A135" s="14"/>
      <c r="B135" s="280">
        <v>2038</v>
      </c>
      <c r="C135" s="111">
        <f t="shared" si="19"/>
        <v>20</v>
      </c>
      <c r="D135" s="292"/>
      <c r="E135" s="110">
        <v>750</v>
      </c>
      <c r="F135" s="283">
        <f t="shared" si="17"/>
        <v>750</v>
      </c>
      <c r="G135" s="284">
        <f t="shared" si="15"/>
        <v>193.81425211040153</v>
      </c>
      <c r="H135" s="293"/>
      <c r="I135" s="107">
        <v>1500</v>
      </c>
      <c r="J135" s="108">
        <f t="shared" si="22"/>
        <v>1500</v>
      </c>
      <c r="K135" s="108">
        <f t="shared" si="16"/>
        <v>387.62850422080305</v>
      </c>
      <c r="L135" s="14"/>
      <c r="M135" s="165" t="s">
        <v>106</v>
      </c>
      <c r="N135" s="166">
        <v>50</v>
      </c>
      <c r="O135" s="166"/>
      <c r="P135" s="167">
        <f>ROUNDUP(+P129*N135,-3)</f>
        <v>355000</v>
      </c>
      <c r="Q135" s="14"/>
    </row>
    <row r="136" spans="1:17" ht="27" customHeight="1" x14ac:dyDescent="0.25">
      <c r="A136" s="14"/>
      <c r="B136" s="280">
        <v>2039</v>
      </c>
      <c r="C136" s="111">
        <f t="shared" si="19"/>
        <v>21</v>
      </c>
      <c r="D136" s="292"/>
      <c r="E136" s="110">
        <v>750</v>
      </c>
      <c r="F136" s="283">
        <f t="shared" si="17"/>
        <v>750</v>
      </c>
      <c r="G136" s="284">
        <f t="shared" si="15"/>
        <v>181.13481505645001</v>
      </c>
      <c r="H136" s="296"/>
      <c r="I136" s="107">
        <v>1500</v>
      </c>
      <c r="J136" s="108">
        <f t="shared" si="22"/>
        <v>1500</v>
      </c>
      <c r="K136" s="108">
        <f t="shared" si="16"/>
        <v>362.26963011290002</v>
      </c>
      <c r="L136" s="14"/>
      <c r="M136" s="14"/>
      <c r="N136" s="14"/>
      <c r="O136" s="14"/>
      <c r="P136" s="14"/>
      <c r="Q136" s="14"/>
    </row>
    <row r="137" spans="1:17" ht="27" customHeight="1" x14ac:dyDescent="0.25">
      <c r="A137" s="14"/>
      <c r="B137" s="280">
        <v>2040</v>
      </c>
      <c r="C137" s="111">
        <f t="shared" si="19"/>
        <v>22</v>
      </c>
      <c r="D137" s="292"/>
      <c r="E137" s="110">
        <v>750</v>
      </c>
      <c r="F137" s="283">
        <f t="shared" si="17"/>
        <v>750</v>
      </c>
      <c r="G137" s="284">
        <f t="shared" si="15"/>
        <v>169.28487388453271</v>
      </c>
      <c r="H137" s="293">
        <f>284000</f>
        <v>284000</v>
      </c>
      <c r="I137" s="107">
        <v>1500</v>
      </c>
      <c r="J137" s="108">
        <f t="shared" si="22"/>
        <v>285500</v>
      </c>
      <c r="K137" s="108">
        <f t="shared" si="16"/>
        <v>64441.108658712124</v>
      </c>
      <c r="L137" s="14"/>
      <c r="M137" s="14"/>
      <c r="N137" s="14"/>
      <c r="O137" s="14"/>
      <c r="P137" s="14"/>
      <c r="Q137"/>
    </row>
    <row r="138" spans="1:17" ht="27" customHeight="1" x14ac:dyDescent="0.25">
      <c r="A138" s="14"/>
      <c r="B138" s="280">
        <v>2041</v>
      </c>
      <c r="C138" s="111">
        <f t="shared" si="19"/>
        <v>23</v>
      </c>
      <c r="D138" s="292"/>
      <c r="E138" s="110">
        <v>750</v>
      </c>
      <c r="F138" s="283">
        <f t="shared" si="17"/>
        <v>750</v>
      </c>
      <c r="G138" s="284">
        <f t="shared" si="15"/>
        <v>158.21016250890909</v>
      </c>
      <c r="H138" s="290"/>
      <c r="I138" s="107">
        <v>1500</v>
      </c>
      <c r="J138" s="108">
        <f t="shared" si="22"/>
        <v>1500</v>
      </c>
      <c r="K138" s="108">
        <f t="shared" si="16"/>
        <v>316.42032501781819</v>
      </c>
      <c r="L138" s="14"/>
      <c r="M138" s="14"/>
      <c r="N138" s="14"/>
      <c r="O138" s="14"/>
      <c r="P138" s="14"/>
      <c r="Q138"/>
    </row>
    <row r="139" spans="1:17" ht="27" customHeight="1" x14ac:dyDescent="0.25">
      <c r="A139" s="14"/>
      <c r="B139" s="280">
        <v>2042</v>
      </c>
      <c r="C139" s="111">
        <f t="shared" si="19"/>
        <v>24</v>
      </c>
      <c r="D139" s="292"/>
      <c r="E139" s="110">
        <v>750</v>
      </c>
      <c r="F139" s="283">
        <f t="shared" si="17"/>
        <v>750</v>
      </c>
      <c r="G139" s="284">
        <f t="shared" si="15"/>
        <v>147.85996496159726</v>
      </c>
      <c r="H139" s="293"/>
      <c r="I139" s="107">
        <v>1500</v>
      </c>
      <c r="J139" s="108">
        <f t="shared" si="22"/>
        <v>1500</v>
      </c>
      <c r="K139" s="108">
        <f t="shared" si="16"/>
        <v>295.71992992319451</v>
      </c>
      <c r="L139" s="14"/>
      <c r="M139" s="11"/>
      <c r="N139"/>
      <c r="O139"/>
      <c r="P139"/>
      <c r="Q139"/>
    </row>
    <row r="140" spans="1:17" ht="27" customHeight="1" x14ac:dyDescent="0.25">
      <c r="A140" s="14"/>
      <c r="B140" s="280">
        <v>2043</v>
      </c>
      <c r="C140" s="111">
        <f t="shared" si="19"/>
        <v>25</v>
      </c>
      <c r="D140" s="292"/>
      <c r="E140" s="110">
        <v>750</v>
      </c>
      <c r="F140" s="283">
        <f t="shared" si="17"/>
        <v>750</v>
      </c>
      <c r="G140" s="284">
        <f t="shared" si="15"/>
        <v>138.18688314167969</v>
      </c>
      <c r="H140" s="293"/>
      <c r="I140" s="107">
        <v>1500</v>
      </c>
      <c r="J140" s="108">
        <f t="shared" si="22"/>
        <v>1500</v>
      </c>
      <c r="K140" s="108">
        <f t="shared" si="16"/>
        <v>276.37376628335937</v>
      </c>
      <c r="L140" s="14"/>
      <c r="M140" s="11"/>
      <c r="N140"/>
      <c r="O140"/>
      <c r="P140"/>
      <c r="Q140"/>
    </row>
    <row r="141" spans="1:17" ht="27" customHeight="1" x14ac:dyDescent="0.25">
      <c r="A141" s="14"/>
      <c r="B141" s="280">
        <v>2044</v>
      </c>
      <c r="C141" s="111">
        <f t="shared" si="19"/>
        <v>26</v>
      </c>
      <c r="D141" s="292"/>
      <c r="E141" s="110">
        <v>750</v>
      </c>
      <c r="F141" s="283">
        <f t="shared" si="17"/>
        <v>750</v>
      </c>
      <c r="G141" s="284">
        <f t="shared" si="15"/>
        <v>129.14661975857916</v>
      </c>
      <c r="H141" s="293"/>
      <c r="I141" s="107">
        <v>1500</v>
      </c>
      <c r="J141" s="108">
        <f t="shared" si="22"/>
        <v>1500</v>
      </c>
      <c r="K141" s="108">
        <f t="shared" si="16"/>
        <v>258.29323951715833</v>
      </c>
      <c r="L141" s="14"/>
      <c r="M141"/>
      <c r="N141"/>
      <c r="O141"/>
      <c r="P141"/>
      <c r="Q141"/>
    </row>
    <row r="142" spans="1:17" ht="27" customHeight="1" x14ac:dyDescent="0.25">
      <c r="A142" s="14"/>
      <c r="B142" s="280">
        <v>2045</v>
      </c>
      <c r="C142" s="111">
        <f t="shared" si="19"/>
        <v>27</v>
      </c>
      <c r="D142" s="297"/>
      <c r="E142" s="110">
        <v>750</v>
      </c>
      <c r="F142" s="283">
        <f t="shared" si="17"/>
        <v>750</v>
      </c>
      <c r="G142" s="284">
        <f t="shared" si="15"/>
        <v>120.69777547530759</v>
      </c>
      <c r="H142" s="293"/>
      <c r="I142" s="107">
        <v>1500</v>
      </c>
      <c r="J142" s="108">
        <f t="shared" si="22"/>
        <v>1500</v>
      </c>
      <c r="K142" s="108">
        <f t="shared" si="16"/>
        <v>241.39555095061519</v>
      </c>
      <c r="L142" s="14"/>
      <c r="M142" s="11"/>
      <c r="N142" s="12"/>
      <c r="O142"/>
      <c r="P142" s="168"/>
      <c r="Q142"/>
    </row>
    <row r="143" spans="1:17" ht="27" customHeight="1" x14ac:dyDescent="0.25">
      <c r="A143" s="14"/>
      <c r="B143" s="280">
        <v>2046</v>
      </c>
      <c r="C143" s="111">
        <f t="shared" si="19"/>
        <v>28</v>
      </c>
      <c r="D143" s="292"/>
      <c r="E143" s="110">
        <v>750</v>
      </c>
      <c r="F143" s="283">
        <f t="shared" si="17"/>
        <v>750</v>
      </c>
      <c r="G143" s="284">
        <f t="shared" si="15"/>
        <v>112.8016593227174</v>
      </c>
      <c r="H143" s="293"/>
      <c r="I143" s="107">
        <v>1500</v>
      </c>
      <c r="J143" s="108">
        <f t="shared" si="22"/>
        <v>1500</v>
      </c>
      <c r="K143" s="108">
        <f t="shared" si="16"/>
        <v>225.6033186454348</v>
      </c>
      <c r="L143" s="14"/>
      <c r="M143" s="11"/>
      <c r="N143"/>
      <c r="O143"/>
      <c r="P143" s="168"/>
      <c r="Q143"/>
    </row>
    <row r="144" spans="1:17" ht="27" customHeight="1" x14ac:dyDescent="0.25">
      <c r="A144" s="14"/>
      <c r="B144" s="280">
        <v>2047</v>
      </c>
      <c r="C144" s="111">
        <f t="shared" si="19"/>
        <v>29</v>
      </c>
      <c r="D144" s="292"/>
      <c r="E144" s="110">
        <v>750</v>
      </c>
      <c r="F144" s="283">
        <f t="shared" si="17"/>
        <v>750</v>
      </c>
      <c r="G144" s="284">
        <f t="shared" si="15"/>
        <v>105.42211151655832</v>
      </c>
      <c r="H144" s="293"/>
      <c r="I144" s="107">
        <v>1500</v>
      </c>
      <c r="J144" s="108">
        <f t="shared" si="22"/>
        <v>1500</v>
      </c>
      <c r="K144" s="108">
        <f t="shared" si="16"/>
        <v>210.84422303311663</v>
      </c>
      <c r="L144" s="14"/>
      <c r="M144" s="11"/>
      <c r="N144"/>
      <c r="O144"/>
      <c r="P144" s="168"/>
      <c r="Q144"/>
    </row>
    <row r="145" spans="1:18" ht="27" customHeight="1" x14ac:dyDescent="0.25">
      <c r="A145" s="14"/>
      <c r="B145" s="280">
        <v>2048</v>
      </c>
      <c r="C145" s="111">
        <f t="shared" si="19"/>
        <v>30</v>
      </c>
      <c r="D145" s="292"/>
      <c r="E145" s="110">
        <v>750</v>
      </c>
      <c r="F145" s="283">
        <f t="shared" si="17"/>
        <v>750</v>
      </c>
      <c r="G145" s="284">
        <f t="shared" si="15"/>
        <v>98.525337865942362</v>
      </c>
      <c r="H145" s="293"/>
      <c r="I145" s="107">
        <v>1500</v>
      </c>
      <c r="J145" s="108">
        <f t="shared" si="22"/>
        <v>1500</v>
      </c>
      <c r="K145" s="108">
        <f t="shared" si="16"/>
        <v>197.05067573188472</v>
      </c>
      <c r="L145" s="14"/>
      <c r="M145" s="11"/>
      <c r="N145"/>
      <c r="O145"/>
      <c r="P145" s="168"/>
      <c r="Q145"/>
    </row>
    <row r="146" spans="1:18" ht="27" customHeight="1" x14ac:dyDescent="0.25">
      <c r="A146" s="14"/>
      <c r="B146" s="397">
        <v>2049</v>
      </c>
      <c r="C146" s="398">
        <f t="shared" si="19"/>
        <v>31</v>
      </c>
      <c r="D146" s="169"/>
      <c r="E146" s="407">
        <v>750</v>
      </c>
      <c r="F146" s="400">
        <f t="shared" si="17"/>
        <v>750</v>
      </c>
      <c r="G146" s="401">
        <f t="shared" si="15"/>
        <v>92.079755014899376</v>
      </c>
      <c r="H146" s="170">
        <f>142000</f>
        <v>142000</v>
      </c>
      <c r="I146" s="402">
        <v>1500</v>
      </c>
      <c r="J146" s="403">
        <f t="shared" si="22"/>
        <v>143500</v>
      </c>
      <c r="K146" s="403">
        <f t="shared" si="16"/>
        <v>17617.926459517414</v>
      </c>
      <c r="L146" s="14"/>
      <c r="M146" s="14"/>
      <c r="N146" s="14"/>
      <c r="O146" s="14"/>
      <c r="P146" s="14"/>
      <c r="Q146" s="14"/>
    </row>
    <row r="147" spans="1:18" ht="27" customHeight="1" x14ac:dyDescent="0.25">
      <c r="A147" s="14"/>
      <c r="B147" s="125"/>
      <c r="C147" s="404"/>
      <c r="D147" s="111"/>
      <c r="E147" s="113"/>
      <c r="F147" s="126"/>
      <c r="G147" s="127"/>
      <c r="H147" s="113"/>
      <c r="I147" s="113"/>
      <c r="J147" s="127"/>
      <c r="K147" s="127"/>
      <c r="L147" s="14"/>
      <c r="M147" s="14"/>
      <c r="N147" s="14"/>
      <c r="O147" s="14"/>
      <c r="P147" s="14"/>
      <c r="Q147" s="14"/>
    </row>
    <row r="148" spans="1:18" ht="27" customHeight="1" thickBot="1" x14ac:dyDescent="0.3">
      <c r="A148" s="14"/>
      <c r="B148" s="125"/>
      <c r="C148" s="128"/>
      <c r="D148" s="128"/>
      <c r="E148" s="129"/>
      <c r="F148" s="126"/>
      <c r="G148" s="127"/>
      <c r="H148" s="130"/>
      <c r="I148" s="113"/>
      <c r="J148" s="127"/>
      <c r="K148" s="127"/>
      <c r="L148" s="14"/>
      <c r="M148" s="14"/>
      <c r="N148" s="14"/>
      <c r="O148" s="14"/>
      <c r="P148" s="14"/>
      <c r="Q148" s="14"/>
    </row>
    <row r="149" spans="1:18" ht="61.5" customHeight="1" x14ac:dyDescent="0.25">
      <c r="A149" s="14"/>
      <c r="B149" s="131"/>
      <c r="C149" s="128"/>
      <c r="D149" s="128"/>
      <c r="E149" s="132"/>
      <c r="F149" s="127"/>
      <c r="G149" s="133" t="s">
        <v>70</v>
      </c>
      <c r="H149" s="134"/>
      <c r="I149" s="113"/>
      <c r="J149" s="127"/>
      <c r="K149" s="135" t="s">
        <v>71</v>
      </c>
      <c r="L149" s="127"/>
      <c r="M149" s="14"/>
      <c r="N149" s="14"/>
      <c r="O149" s="14"/>
      <c r="P149" s="14"/>
      <c r="Q149" s="14"/>
    </row>
    <row r="150" spans="1:18" ht="27" customHeight="1" x14ac:dyDescent="0.25">
      <c r="A150" s="14"/>
      <c r="B150" s="131"/>
      <c r="C150" s="131"/>
      <c r="D150" s="131"/>
      <c r="E150" s="14"/>
      <c r="F150" s="131"/>
      <c r="G150" s="245" t="s">
        <v>72</v>
      </c>
      <c r="H150" s="131"/>
      <c r="I150" s="131"/>
      <c r="J150" s="14"/>
      <c r="K150" s="246" t="s">
        <v>72</v>
      </c>
      <c r="L150" s="14"/>
      <c r="M150" s="14"/>
      <c r="N150" s="14"/>
      <c r="O150" s="14"/>
      <c r="P150" s="14"/>
      <c r="Q150" s="14"/>
    </row>
    <row r="151" spans="1:18" ht="27" customHeight="1" thickBot="1" x14ac:dyDescent="0.3">
      <c r="A151" s="14"/>
      <c r="B151" s="131"/>
      <c r="C151" s="136"/>
      <c r="D151" s="136"/>
      <c r="E151" s="137"/>
      <c r="F151" s="136"/>
      <c r="G151" s="138">
        <f>SUM(G115:G146)</f>
        <v>239002.61564550677</v>
      </c>
      <c r="H151" s="131"/>
      <c r="I151" s="131"/>
      <c r="J151" s="14"/>
      <c r="K151" s="139">
        <f>SUM(K115:K146)</f>
        <v>155980.58691851923</v>
      </c>
      <c r="L151" s="14"/>
      <c r="M151" s="14"/>
      <c r="N151" s="14"/>
      <c r="O151" s="14"/>
      <c r="P151" s="14"/>
      <c r="Q151" s="14"/>
    </row>
    <row r="152" spans="1:18" ht="27" customHeight="1" thickBot="1" x14ac:dyDescent="0.3">
      <c r="A152" s="14"/>
      <c r="B152" s="140" t="s">
        <v>73</v>
      </c>
      <c r="C152" s="136"/>
      <c r="D152" s="136"/>
      <c r="E152" s="131"/>
      <c r="F152" s="136"/>
      <c r="G152" s="141"/>
      <c r="H152" s="131"/>
      <c r="I152" s="131"/>
      <c r="J152" s="131"/>
      <c r="K152" s="137"/>
      <c r="L152" s="14"/>
      <c r="M152" s="14"/>
      <c r="N152" s="14"/>
      <c r="O152" s="14"/>
      <c r="P152" s="14"/>
      <c r="Q152" s="14"/>
    </row>
    <row r="153" spans="1:18" ht="42.75" customHeight="1" x14ac:dyDescent="0.25">
      <c r="A153" s="14"/>
      <c r="B153" s="142" t="s">
        <v>74</v>
      </c>
      <c r="C153" s="143"/>
      <c r="D153" s="144">
        <v>7.0000000000000007E-2</v>
      </c>
      <c r="E153" s="14"/>
      <c r="F153" s="14"/>
      <c r="G153" s="14"/>
      <c r="H153" s="131"/>
      <c r="I153" s="171" t="s">
        <v>75</v>
      </c>
      <c r="J153" s="137"/>
      <c r="K153" s="14"/>
      <c r="L153" s="137"/>
      <c r="M153" s="14"/>
      <c r="N153" s="14"/>
      <c r="O153" s="14"/>
      <c r="P153" s="142"/>
      <c r="Q153" s="14"/>
    </row>
    <row r="154" spans="1:18" ht="27" customHeight="1" thickBot="1" x14ac:dyDescent="0.3">
      <c r="A154" s="14"/>
      <c r="B154" s="145"/>
      <c r="C154" s="146"/>
      <c r="D154" s="14"/>
      <c r="E154" s="14"/>
      <c r="F154" s="131"/>
      <c r="G154" s="147"/>
      <c r="H154" s="147"/>
      <c r="I154" s="172">
        <f>G151/K151</f>
        <v>1.5322587276220239</v>
      </c>
      <c r="J154" s="14"/>
      <c r="K154" s="14"/>
      <c r="L154" s="14"/>
      <c r="M154" s="14"/>
      <c r="N154" s="14"/>
      <c r="O154" s="14"/>
      <c r="P154" s="142"/>
      <c r="Q154" s="14"/>
    </row>
    <row r="155" spans="1:18" ht="27" customHeight="1" x14ac:dyDescent="0.25">
      <c r="A155" s="14"/>
      <c r="B155" s="14"/>
      <c r="C155" s="137"/>
      <c r="D155" s="137"/>
      <c r="E155" s="142"/>
      <c r="F155" s="142"/>
      <c r="G155" s="142"/>
      <c r="H155" s="137"/>
      <c r="I155" s="142"/>
      <c r="J155" s="142"/>
      <c r="K155" s="14"/>
      <c r="L155" s="14"/>
      <c r="M155" s="14"/>
      <c r="N155" s="14"/>
      <c r="O155" s="14"/>
      <c r="P155" s="14"/>
      <c r="Q155" s="14"/>
    </row>
    <row r="156" spans="1:18" ht="18" customHeight="1" x14ac:dyDescent="0.25">
      <c r="A156" s="14"/>
      <c r="B156" s="14"/>
      <c r="C156" s="137"/>
      <c r="D156" s="137"/>
      <c r="E156" s="142"/>
      <c r="F156" s="142"/>
      <c r="G156" s="142"/>
      <c r="H156" s="137"/>
      <c r="I156" s="173"/>
      <c r="J156" s="142"/>
      <c r="K156" s="137"/>
      <c r="L156" s="14"/>
      <c r="M156" s="14"/>
      <c r="N156" s="14"/>
      <c r="O156" s="14"/>
      <c r="P156" s="14"/>
      <c r="Q156" s="14"/>
    </row>
    <row r="157" spans="1:18" ht="18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</row>
    <row r="158" spans="1:18" ht="30" customHeight="1" x14ac:dyDescent="0.4">
      <c r="A158" s="14"/>
      <c r="B158" s="558" t="s">
        <v>20</v>
      </c>
      <c r="C158" s="558"/>
      <c r="D158" s="558"/>
      <c r="E158" s="558"/>
      <c r="F158" s="558"/>
      <c r="G158" s="558"/>
      <c r="H158" s="558"/>
      <c r="I158" s="558"/>
      <c r="J158" s="558"/>
      <c r="K158" s="558"/>
      <c r="L158" s="14"/>
      <c r="M158" s="14"/>
      <c r="N158" s="14"/>
      <c r="O158" s="14"/>
      <c r="P158" s="14"/>
      <c r="Q158" s="14"/>
    </row>
    <row r="159" spans="1:18" ht="33.75" customHeight="1" x14ac:dyDescent="0.4">
      <c r="A159" s="14"/>
      <c r="B159" s="102" t="s">
        <v>42</v>
      </c>
      <c r="C159" s="102"/>
      <c r="D159" s="102"/>
      <c r="E159" s="102"/>
      <c r="F159" s="102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8" ht="27.75" customHeight="1" x14ac:dyDescent="0.4">
      <c r="A160" s="14"/>
      <c r="B160" s="103" t="s">
        <v>43</v>
      </c>
      <c r="C160" s="103"/>
      <c r="D160" s="103"/>
      <c r="E160" s="104"/>
      <c r="F160" s="14"/>
      <c r="G160" s="105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ht="27.75" customHeight="1" x14ac:dyDescent="0.3">
      <c r="A161" s="14"/>
      <c r="B161" s="559" t="s">
        <v>107</v>
      </c>
      <c r="C161" s="559"/>
      <c r="D161" s="559"/>
      <c r="E161" s="559"/>
      <c r="F161" s="559"/>
      <c r="G161" s="559"/>
      <c r="H161" s="559"/>
      <c r="I161" s="559"/>
      <c r="J161" s="559"/>
      <c r="K161" s="559"/>
      <c r="L161" s="14"/>
      <c r="M161" s="14"/>
      <c r="N161" s="14"/>
      <c r="O161" s="14"/>
      <c r="P161" s="14"/>
      <c r="Q161" s="14"/>
    </row>
    <row r="162" spans="1:17" ht="33.75" customHeight="1" x14ac:dyDescent="0.35">
      <c r="A162" s="14"/>
      <c r="B162" s="551" t="s">
        <v>108</v>
      </c>
      <c r="C162" s="551"/>
      <c r="D162" s="551"/>
      <c r="E162" s="551"/>
      <c r="F162" s="551"/>
      <c r="G162" s="551"/>
      <c r="H162" s="551"/>
      <c r="I162" s="551"/>
      <c r="J162" s="551"/>
      <c r="K162" s="551"/>
      <c r="L162" s="14"/>
      <c r="M162" s="14"/>
      <c r="N162" s="14"/>
      <c r="O162" s="14"/>
      <c r="P162" s="14"/>
      <c r="Q162" s="14"/>
    </row>
    <row r="163" spans="1:17" ht="18" customHeight="1" x14ac:dyDescent="0.25">
      <c r="A163" s="14"/>
      <c r="B163" s="551" t="s">
        <v>109</v>
      </c>
      <c r="C163" s="551"/>
      <c r="D163" s="551"/>
      <c r="E163" s="551"/>
      <c r="F163" s="551"/>
      <c r="G163" s="551"/>
      <c r="H163" s="551"/>
      <c r="I163" s="551"/>
      <c r="J163" s="551"/>
      <c r="K163" s="551"/>
      <c r="L163" s="14"/>
      <c r="M163" s="14"/>
      <c r="N163" s="14"/>
      <c r="O163" s="14"/>
      <c r="P163" s="14"/>
      <c r="Q163" s="14"/>
    </row>
    <row r="164" spans="1:17" ht="34.5" customHeight="1" thickBot="1" x14ac:dyDescent="0.3">
      <c r="A164" s="14"/>
      <c r="B164" s="551"/>
      <c r="C164" s="551"/>
      <c r="D164" s="551"/>
      <c r="E164" s="551"/>
      <c r="F164" s="551"/>
      <c r="G164" s="551"/>
      <c r="H164" s="551"/>
      <c r="I164" s="551"/>
      <c r="J164" s="551"/>
      <c r="K164" s="551"/>
      <c r="L164" s="14"/>
      <c r="M164" s="14"/>
      <c r="N164" s="14"/>
      <c r="O164" s="14"/>
      <c r="P164" s="14"/>
      <c r="Q164" s="14"/>
    </row>
    <row r="165" spans="1:17" ht="39.75" customHeight="1" x14ac:dyDescent="0.25">
      <c r="A165" s="14"/>
      <c r="B165" s="14"/>
      <c r="C165" s="14"/>
      <c r="D165" s="552" t="s">
        <v>47</v>
      </c>
      <c r="E165" s="553"/>
      <c r="F165" s="553"/>
      <c r="G165" s="554"/>
      <c r="H165" s="555" t="s">
        <v>48</v>
      </c>
      <c r="I165" s="556"/>
      <c r="J165" s="556"/>
      <c r="K165" s="557"/>
      <c r="L165" s="14"/>
      <c r="M165" s="14"/>
      <c r="N165" s="14"/>
      <c r="O165" s="14"/>
      <c r="P165" s="14"/>
      <c r="Q165" s="14"/>
    </row>
    <row r="166" spans="1:17" ht="69" customHeight="1" x14ac:dyDescent="0.25">
      <c r="A166" s="14"/>
      <c r="B166" s="386" t="s">
        <v>30</v>
      </c>
      <c r="C166" s="387" t="s">
        <v>49</v>
      </c>
      <c r="D166" s="388" t="s">
        <v>50</v>
      </c>
      <c r="E166" s="389" t="s">
        <v>51</v>
      </c>
      <c r="F166" s="390" t="s">
        <v>52</v>
      </c>
      <c r="G166" s="391" t="s">
        <v>53</v>
      </c>
      <c r="H166" s="392" t="s">
        <v>50</v>
      </c>
      <c r="I166" s="393" t="s">
        <v>54</v>
      </c>
      <c r="J166" s="394" t="s">
        <v>55</v>
      </c>
      <c r="K166" s="243" t="s">
        <v>56</v>
      </c>
      <c r="L166" s="14"/>
      <c r="M166" s="14" t="s">
        <v>110</v>
      </c>
      <c r="N166" s="14"/>
      <c r="O166" s="14"/>
      <c r="P166" s="14"/>
      <c r="Q166" s="14"/>
    </row>
    <row r="167" spans="1:17" ht="27.75" customHeight="1" x14ac:dyDescent="0.25">
      <c r="A167" s="14"/>
      <c r="B167" s="280">
        <v>2018</v>
      </c>
      <c r="C167" s="281">
        <v>0</v>
      </c>
      <c r="D167" s="292"/>
      <c r="E167" s="110"/>
      <c r="F167" s="283">
        <f>SUM(D167:E167)</f>
        <v>0</v>
      </c>
      <c r="G167" s="284">
        <f t="shared" ref="G167:G198" si="23">(F167/(1+0.07)^$C167)</f>
        <v>0</v>
      </c>
      <c r="H167" s="293"/>
      <c r="I167" s="107"/>
      <c r="J167" s="108">
        <f t="shared" ref="J167:J168" si="24">SUM(H167:I167)</f>
        <v>0</v>
      </c>
      <c r="K167" s="109">
        <f t="shared" ref="K167:K198" si="25">J167/(1+0.07)^$C167</f>
        <v>0</v>
      </c>
      <c r="L167" s="14"/>
      <c r="M167" s="14" t="s">
        <v>111</v>
      </c>
      <c r="N167" s="14"/>
      <c r="O167" s="14"/>
      <c r="P167" s="14"/>
      <c r="Q167" s="14"/>
    </row>
    <row r="168" spans="1:17" ht="27.75" customHeight="1" x14ac:dyDescent="0.25">
      <c r="A168" s="14"/>
      <c r="B168" s="280">
        <v>2019</v>
      </c>
      <c r="C168" s="281">
        <v>1</v>
      </c>
      <c r="D168" s="292"/>
      <c r="E168" s="110"/>
      <c r="F168" s="283">
        <f t="shared" ref="F168:F198" si="26">SUM(D168:E168)</f>
        <v>0</v>
      </c>
      <c r="G168" s="284">
        <f t="shared" si="23"/>
        <v>0</v>
      </c>
      <c r="H168" s="293"/>
      <c r="I168" s="107"/>
      <c r="J168" s="108">
        <f t="shared" si="24"/>
        <v>0</v>
      </c>
      <c r="K168" s="109">
        <f t="shared" si="25"/>
        <v>0</v>
      </c>
      <c r="L168" s="14"/>
      <c r="M168" s="14" t="s">
        <v>112</v>
      </c>
      <c r="N168" s="14"/>
      <c r="O168" s="14"/>
      <c r="P168" s="14"/>
      <c r="Q168" s="14"/>
    </row>
    <row r="169" spans="1:17" ht="27.75" customHeight="1" x14ac:dyDescent="0.25">
      <c r="A169" s="14"/>
      <c r="B169" s="280">
        <v>2020</v>
      </c>
      <c r="C169" s="281">
        <v>2</v>
      </c>
      <c r="D169" s="294">
        <f>153000+100000</f>
        <v>253000</v>
      </c>
      <c r="E169" s="110">
        <v>5000</v>
      </c>
      <c r="F169" s="283">
        <f t="shared" si="26"/>
        <v>258000</v>
      </c>
      <c r="G169" s="284">
        <f t="shared" si="23"/>
        <v>225347.19189448858</v>
      </c>
      <c r="H169" s="293"/>
      <c r="I169" s="107">
        <v>5000</v>
      </c>
      <c r="J169" s="108">
        <f t="shared" ref="J169:J198" si="27">SUM(H169:I169)</f>
        <v>5000</v>
      </c>
      <c r="K169" s="109">
        <f t="shared" si="25"/>
        <v>4367.1936413660578</v>
      </c>
      <c r="L169" s="14"/>
      <c r="M169" s="14"/>
      <c r="N169" s="14"/>
      <c r="O169" s="14"/>
      <c r="P169" s="14"/>
      <c r="Q169" s="14"/>
    </row>
    <row r="170" spans="1:17" ht="27.75" customHeight="1" x14ac:dyDescent="0.25">
      <c r="A170" s="14"/>
      <c r="B170" s="280">
        <v>2021</v>
      </c>
      <c r="C170" s="281">
        <f>1+C169</f>
        <v>3</v>
      </c>
      <c r="D170" s="294"/>
      <c r="E170" s="110">
        <v>5000</v>
      </c>
      <c r="F170" s="283">
        <f t="shared" si="26"/>
        <v>5000</v>
      </c>
      <c r="G170" s="284">
        <f t="shared" si="23"/>
        <v>4081.4893844542598</v>
      </c>
      <c r="H170" s="293"/>
      <c r="I170" s="107">
        <v>5000</v>
      </c>
      <c r="J170" s="108">
        <f t="shared" si="27"/>
        <v>5000</v>
      </c>
      <c r="K170" s="109">
        <f t="shared" si="25"/>
        <v>4081.4893844542598</v>
      </c>
      <c r="L170" s="14"/>
      <c r="M170" s="14"/>
      <c r="N170" s="14"/>
      <c r="O170" s="14"/>
      <c r="P170" s="14"/>
      <c r="Q170" s="14"/>
    </row>
    <row r="171" spans="1:17" ht="27.75" customHeight="1" x14ac:dyDescent="0.25">
      <c r="A171" s="14"/>
      <c r="B171" s="280">
        <v>2022</v>
      </c>
      <c r="C171" s="281">
        <f t="shared" ref="C171:C198" si="28">C170+1</f>
        <v>4</v>
      </c>
      <c r="D171" s="292"/>
      <c r="E171" s="110">
        <f t="shared" ref="E171:E173" si="29">E170</f>
        <v>5000</v>
      </c>
      <c r="F171" s="283">
        <f t="shared" si="26"/>
        <v>5000</v>
      </c>
      <c r="G171" s="284">
        <f t="shared" si="23"/>
        <v>3814.4760602376259</v>
      </c>
      <c r="H171" s="293"/>
      <c r="I171" s="107">
        <v>5000</v>
      </c>
      <c r="J171" s="108">
        <f t="shared" si="27"/>
        <v>5000</v>
      </c>
      <c r="K171" s="109">
        <f t="shared" si="25"/>
        <v>3814.4760602376259</v>
      </c>
      <c r="L171" s="14"/>
      <c r="M171" s="14"/>
      <c r="N171" s="14"/>
      <c r="O171" s="14"/>
      <c r="P171" s="14"/>
      <c r="Q171" s="14"/>
    </row>
    <row r="172" spans="1:17" ht="27.75" customHeight="1" x14ac:dyDescent="0.25">
      <c r="A172" s="14"/>
      <c r="B172" s="280">
        <v>2023</v>
      </c>
      <c r="C172" s="281">
        <f t="shared" si="28"/>
        <v>5</v>
      </c>
      <c r="D172" s="292"/>
      <c r="E172" s="110">
        <f t="shared" si="29"/>
        <v>5000</v>
      </c>
      <c r="F172" s="283">
        <f t="shared" si="26"/>
        <v>5000</v>
      </c>
      <c r="G172" s="284">
        <f t="shared" si="23"/>
        <v>3564.9308974183418</v>
      </c>
      <c r="H172" s="293"/>
      <c r="I172" s="107"/>
      <c r="J172" s="108">
        <f t="shared" si="27"/>
        <v>0</v>
      </c>
      <c r="K172" s="109">
        <f t="shared" si="25"/>
        <v>0</v>
      </c>
      <c r="L172" s="14"/>
      <c r="M172" s="14"/>
      <c r="N172" s="14"/>
      <c r="O172" s="14"/>
      <c r="P172" s="14"/>
      <c r="Q172" s="14"/>
    </row>
    <row r="173" spans="1:17" ht="27.75" customHeight="1" thickBot="1" x14ac:dyDescent="0.3">
      <c r="A173" s="14"/>
      <c r="B173" s="280">
        <v>2024</v>
      </c>
      <c r="C173" s="281">
        <f t="shared" si="28"/>
        <v>6</v>
      </c>
      <c r="D173" s="292"/>
      <c r="E173" s="110">
        <f t="shared" si="29"/>
        <v>5000</v>
      </c>
      <c r="F173" s="283">
        <f t="shared" si="26"/>
        <v>5000</v>
      </c>
      <c r="G173" s="284">
        <f t="shared" si="23"/>
        <v>3331.7111190825626</v>
      </c>
      <c r="H173" s="293"/>
      <c r="I173" s="107"/>
      <c r="J173" s="108">
        <f t="shared" si="27"/>
        <v>0</v>
      </c>
      <c r="K173" s="109">
        <f t="shared" si="25"/>
        <v>0</v>
      </c>
      <c r="L173" s="14"/>
      <c r="M173" s="14" t="s">
        <v>104</v>
      </c>
      <c r="N173" s="14"/>
      <c r="O173" s="14"/>
      <c r="P173" s="14"/>
      <c r="Q173" s="14"/>
    </row>
    <row r="174" spans="1:17" ht="27.75" customHeight="1" x14ac:dyDescent="0.25">
      <c r="A174" s="14"/>
      <c r="B174" s="280">
        <v>2025</v>
      </c>
      <c r="C174" s="281">
        <f t="shared" si="28"/>
        <v>7</v>
      </c>
      <c r="D174" s="292" t="s">
        <v>60</v>
      </c>
      <c r="E174" s="110">
        <v>5000</v>
      </c>
      <c r="F174" s="283">
        <f t="shared" si="26"/>
        <v>5000</v>
      </c>
      <c r="G174" s="284">
        <f t="shared" si="23"/>
        <v>3113.7487094229555</v>
      </c>
      <c r="H174" s="293"/>
      <c r="I174" s="107">
        <v>1500</v>
      </c>
      <c r="J174" s="108">
        <f t="shared" si="27"/>
        <v>1500</v>
      </c>
      <c r="K174" s="109">
        <f t="shared" si="25"/>
        <v>934.12461282688662</v>
      </c>
      <c r="L174" s="14"/>
      <c r="M174" s="244"/>
      <c r="N174" s="395"/>
      <c r="O174" s="395"/>
      <c r="P174" s="396"/>
      <c r="Q174" s="14"/>
    </row>
    <row r="175" spans="1:17" ht="27.75" customHeight="1" x14ac:dyDescent="0.25">
      <c r="A175" s="14"/>
      <c r="B175" s="280">
        <v>2026</v>
      </c>
      <c r="C175" s="111">
        <f t="shared" si="28"/>
        <v>8</v>
      </c>
      <c r="D175" s="292"/>
      <c r="E175" s="110">
        <v>750</v>
      </c>
      <c r="F175" s="283">
        <f t="shared" si="26"/>
        <v>750</v>
      </c>
      <c r="G175" s="284">
        <f t="shared" si="23"/>
        <v>436.50682842377881</v>
      </c>
      <c r="H175" s="293"/>
      <c r="I175" s="107">
        <v>1500</v>
      </c>
      <c r="J175" s="108">
        <f t="shared" si="27"/>
        <v>1500</v>
      </c>
      <c r="K175" s="109">
        <f t="shared" si="25"/>
        <v>873.01365684755763</v>
      </c>
      <c r="L175" s="14"/>
      <c r="M175" s="288" t="s">
        <v>61</v>
      </c>
      <c r="N175" s="14">
        <v>2039</v>
      </c>
      <c r="O175" s="14"/>
      <c r="P175" s="112"/>
      <c r="Q175" s="14"/>
    </row>
    <row r="176" spans="1:17" ht="27.75" customHeight="1" x14ac:dyDescent="0.25">
      <c r="A176" s="14"/>
      <c r="B176" s="280">
        <v>2027</v>
      </c>
      <c r="C176" s="111">
        <f t="shared" si="28"/>
        <v>9</v>
      </c>
      <c r="D176" s="292"/>
      <c r="E176" s="110">
        <v>750</v>
      </c>
      <c r="F176" s="283">
        <f t="shared" si="26"/>
        <v>750</v>
      </c>
      <c r="G176" s="284">
        <f t="shared" si="23"/>
        <v>407.950306938111</v>
      </c>
      <c r="H176" s="293"/>
      <c r="I176" s="107">
        <v>1500</v>
      </c>
      <c r="J176" s="108">
        <f t="shared" si="27"/>
        <v>1500</v>
      </c>
      <c r="K176" s="109">
        <f t="shared" si="25"/>
        <v>815.900613876222</v>
      </c>
      <c r="L176" s="14"/>
      <c r="M176" s="288" t="s">
        <v>62</v>
      </c>
      <c r="N176" s="14">
        <v>2032</v>
      </c>
      <c r="O176" s="14">
        <v>2048</v>
      </c>
      <c r="P176" s="112"/>
      <c r="Q176" s="14"/>
    </row>
    <row r="177" spans="1:17" ht="27.75" customHeight="1" x14ac:dyDescent="0.25">
      <c r="A177" s="14"/>
      <c r="B177" s="280">
        <v>2028</v>
      </c>
      <c r="C177" s="111">
        <f t="shared" si="28"/>
        <v>10</v>
      </c>
      <c r="D177" s="292"/>
      <c r="E177" s="110">
        <v>750</v>
      </c>
      <c r="F177" s="283">
        <f t="shared" si="26"/>
        <v>750</v>
      </c>
      <c r="G177" s="284">
        <f t="shared" si="23"/>
        <v>381.26196910103835</v>
      </c>
      <c r="H177" s="293"/>
      <c r="I177" s="107">
        <v>1500</v>
      </c>
      <c r="J177" s="108">
        <f t="shared" si="27"/>
        <v>1500</v>
      </c>
      <c r="K177" s="109">
        <f t="shared" si="25"/>
        <v>762.52393820207669</v>
      </c>
      <c r="L177" s="14"/>
      <c r="M177" s="288"/>
      <c r="N177" s="14"/>
      <c r="O177" s="14"/>
      <c r="P177" s="112"/>
      <c r="Q177" s="14"/>
    </row>
    <row r="178" spans="1:17" ht="27.75" customHeight="1" x14ac:dyDescent="0.25">
      <c r="A178" s="14"/>
      <c r="B178" s="280">
        <v>2029</v>
      </c>
      <c r="C178" s="111">
        <f t="shared" si="28"/>
        <v>11</v>
      </c>
      <c r="D178" s="292"/>
      <c r="E178" s="110">
        <v>750</v>
      </c>
      <c r="F178" s="283">
        <f t="shared" si="26"/>
        <v>750</v>
      </c>
      <c r="G178" s="284">
        <f t="shared" si="23"/>
        <v>356.31959729069001</v>
      </c>
      <c r="H178" s="293"/>
      <c r="I178" s="107">
        <v>1500</v>
      </c>
      <c r="J178" s="108">
        <f t="shared" si="27"/>
        <v>1500</v>
      </c>
      <c r="K178" s="108">
        <f t="shared" si="25"/>
        <v>712.63919458138002</v>
      </c>
      <c r="L178" s="14"/>
      <c r="M178" s="288"/>
      <c r="N178" s="14"/>
      <c r="O178" s="114"/>
      <c r="P178" s="179"/>
      <c r="Q178" s="162"/>
    </row>
    <row r="179" spans="1:17" ht="27.75" customHeight="1" x14ac:dyDescent="0.25">
      <c r="A179" s="14"/>
      <c r="B179" s="280">
        <v>2030</v>
      </c>
      <c r="C179" s="111">
        <f t="shared" si="28"/>
        <v>12</v>
      </c>
      <c r="D179" s="292"/>
      <c r="E179" s="110">
        <v>750</v>
      </c>
      <c r="F179" s="283">
        <f t="shared" si="26"/>
        <v>750</v>
      </c>
      <c r="G179" s="284">
        <f t="shared" si="23"/>
        <v>333.00896943055147</v>
      </c>
      <c r="H179" s="293"/>
      <c r="I179" s="107">
        <v>1500</v>
      </c>
      <c r="J179" s="108">
        <f t="shared" si="27"/>
        <v>1500</v>
      </c>
      <c r="K179" s="108">
        <f t="shared" si="25"/>
        <v>666.01793886110295</v>
      </c>
      <c r="L179" s="14"/>
      <c r="M179" s="288"/>
      <c r="N179" s="14"/>
      <c r="O179" s="14"/>
      <c r="P179" s="112"/>
      <c r="Q179"/>
    </row>
    <row r="180" spans="1:17" ht="27.75" customHeight="1" x14ac:dyDescent="0.25">
      <c r="A180" s="14"/>
      <c r="B180" s="280">
        <v>2031</v>
      </c>
      <c r="C180" s="111">
        <f t="shared" si="28"/>
        <v>13</v>
      </c>
      <c r="D180" s="292"/>
      <c r="E180" s="110">
        <v>750</v>
      </c>
      <c r="F180" s="283">
        <f t="shared" si="26"/>
        <v>750</v>
      </c>
      <c r="G180" s="284">
        <f t="shared" si="23"/>
        <v>311.22333591640319</v>
      </c>
      <c r="H180" s="293"/>
      <c r="I180" s="107">
        <v>1500</v>
      </c>
      <c r="J180" s="108">
        <f t="shared" si="27"/>
        <v>1500</v>
      </c>
      <c r="K180" s="108">
        <f t="shared" si="25"/>
        <v>622.44667183280637</v>
      </c>
      <c r="L180" s="14"/>
      <c r="M180" s="288"/>
      <c r="N180" s="14"/>
      <c r="O180" s="14"/>
      <c r="P180" s="112"/>
      <c r="Q180"/>
    </row>
    <row r="181" spans="1:17" ht="27.75" customHeight="1" x14ac:dyDescent="0.25">
      <c r="A181" s="14"/>
      <c r="B181" s="280">
        <v>2032</v>
      </c>
      <c r="C181" s="111">
        <f t="shared" si="28"/>
        <v>14</v>
      </c>
      <c r="D181" s="292"/>
      <c r="E181" s="110">
        <v>750</v>
      </c>
      <c r="F181" s="283">
        <f t="shared" si="26"/>
        <v>750</v>
      </c>
      <c r="G181" s="284">
        <f t="shared" si="23"/>
        <v>290.8629307629937</v>
      </c>
      <c r="H181" s="293">
        <v>153000</v>
      </c>
      <c r="I181" s="107">
        <v>1500</v>
      </c>
      <c r="J181" s="108">
        <f t="shared" si="27"/>
        <v>154500</v>
      </c>
      <c r="K181" s="108">
        <f t="shared" si="25"/>
        <v>59917.763737176698</v>
      </c>
      <c r="L181" s="14"/>
      <c r="M181" s="288" t="s">
        <v>105</v>
      </c>
      <c r="N181" s="14">
        <v>49.326000000000001</v>
      </c>
      <c r="O181" s="14">
        <v>155</v>
      </c>
      <c r="P181" s="112">
        <f>+O181*N181</f>
        <v>7645.53</v>
      </c>
      <c r="Q181" t="s">
        <v>64</v>
      </c>
    </row>
    <row r="182" spans="1:17" ht="27.75" customHeight="1" x14ac:dyDescent="0.25">
      <c r="A182" s="14"/>
      <c r="B182" s="280">
        <v>2033</v>
      </c>
      <c r="C182" s="111">
        <f t="shared" si="28"/>
        <v>15</v>
      </c>
      <c r="D182" s="292"/>
      <c r="E182" s="110">
        <v>750</v>
      </c>
      <c r="F182" s="283">
        <f t="shared" si="26"/>
        <v>750</v>
      </c>
      <c r="G182" s="284">
        <f t="shared" si="23"/>
        <v>271.83451473176973</v>
      </c>
      <c r="H182" s="293"/>
      <c r="I182" s="107">
        <v>1500</v>
      </c>
      <c r="J182" s="108">
        <f t="shared" si="27"/>
        <v>1500</v>
      </c>
      <c r="K182" s="108">
        <f t="shared" si="25"/>
        <v>543.66902946353946</v>
      </c>
      <c r="L182" s="14"/>
      <c r="M182" s="288"/>
      <c r="N182" s="14"/>
      <c r="O182" s="14"/>
      <c r="P182" s="112"/>
      <c r="Q182"/>
    </row>
    <row r="183" spans="1:17" ht="27.75" customHeight="1" x14ac:dyDescent="0.25">
      <c r="A183" s="14"/>
      <c r="B183" s="280">
        <v>2034</v>
      </c>
      <c r="C183" s="111">
        <f t="shared" si="28"/>
        <v>16</v>
      </c>
      <c r="D183" s="292"/>
      <c r="E183" s="110">
        <v>750</v>
      </c>
      <c r="F183" s="283">
        <f t="shared" si="26"/>
        <v>750</v>
      </c>
      <c r="G183" s="284">
        <f t="shared" si="23"/>
        <v>254.05094834744841</v>
      </c>
      <c r="H183" s="293"/>
      <c r="I183" s="107">
        <v>1500</v>
      </c>
      <c r="J183" s="108">
        <f t="shared" si="27"/>
        <v>1500</v>
      </c>
      <c r="K183" s="108">
        <f t="shared" si="25"/>
        <v>508.10189669489682</v>
      </c>
      <c r="L183" s="14"/>
      <c r="M183" s="288" t="s">
        <v>65</v>
      </c>
      <c r="N183" s="124">
        <v>40</v>
      </c>
      <c r="O183" s="14"/>
      <c r="P183" s="180">
        <f>ROUNDUP(+P181*N183,-3)</f>
        <v>306000</v>
      </c>
      <c r="Q183"/>
    </row>
    <row r="184" spans="1:17" ht="27.75" customHeight="1" x14ac:dyDescent="0.25">
      <c r="A184" s="14"/>
      <c r="B184" s="280">
        <v>2035</v>
      </c>
      <c r="C184" s="111">
        <f t="shared" si="28"/>
        <v>17</v>
      </c>
      <c r="D184" s="292"/>
      <c r="E184" s="110">
        <v>750</v>
      </c>
      <c r="F184" s="283">
        <f t="shared" si="26"/>
        <v>750</v>
      </c>
      <c r="G184" s="284">
        <f t="shared" si="23"/>
        <v>237.4307928480826</v>
      </c>
      <c r="H184" s="293"/>
      <c r="I184" s="107">
        <v>1500</v>
      </c>
      <c r="J184" s="108">
        <f t="shared" si="27"/>
        <v>1500</v>
      </c>
      <c r="K184" s="108">
        <f t="shared" si="25"/>
        <v>474.86158569616521</v>
      </c>
      <c r="L184" s="14"/>
      <c r="M184" s="288" t="s">
        <v>93</v>
      </c>
      <c r="N184" s="14">
        <v>7.5</v>
      </c>
      <c r="O184" s="14"/>
      <c r="P184" s="180">
        <f>ROUNDUP(+P181*N184,-3)</f>
        <v>58000</v>
      </c>
      <c r="Q184"/>
    </row>
    <row r="185" spans="1:17" ht="27.75" customHeight="1" x14ac:dyDescent="0.25">
      <c r="A185" s="14"/>
      <c r="B185" s="280">
        <v>2036</v>
      </c>
      <c r="C185" s="111">
        <f t="shared" si="28"/>
        <v>18</v>
      </c>
      <c r="D185" s="292"/>
      <c r="E185" s="110">
        <v>750</v>
      </c>
      <c r="F185" s="283">
        <f t="shared" si="26"/>
        <v>750</v>
      </c>
      <c r="G185" s="284">
        <f t="shared" si="23"/>
        <v>221.89793724119869</v>
      </c>
      <c r="H185" s="293"/>
      <c r="I185" s="107">
        <v>1500</v>
      </c>
      <c r="J185" s="108">
        <f t="shared" si="27"/>
        <v>1500</v>
      </c>
      <c r="K185" s="108">
        <f t="shared" si="25"/>
        <v>443.79587448239738</v>
      </c>
      <c r="L185" s="14"/>
      <c r="M185" s="288" t="s">
        <v>67</v>
      </c>
      <c r="N185" s="14">
        <v>20</v>
      </c>
      <c r="O185" s="14"/>
      <c r="P185" s="180">
        <f>ROUNDUP(+P181*N185,-3)</f>
        <v>153000</v>
      </c>
      <c r="Q185"/>
    </row>
    <row r="186" spans="1:17" ht="27.75" customHeight="1" x14ac:dyDescent="0.25">
      <c r="A186" s="14"/>
      <c r="B186" s="280">
        <v>2037</v>
      </c>
      <c r="C186" s="111">
        <f t="shared" si="28"/>
        <v>19</v>
      </c>
      <c r="D186" s="292"/>
      <c r="E186" s="110">
        <v>750</v>
      </c>
      <c r="F186" s="283">
        <f t="shared" si="26"/>
        <v>750</v>
      </c>
      <c r="G186" s="284">
        <f t="shared" si="23"/>
        <v>207.38124975812963</v>
      </c>
      <c r="H186" s="293"/>
      <c r="I186" s="107">
        <v>1500</v>
      </c>
      <c r="J186" s="108">
        <f t="shared" si="27"/>
        <v>1500</v>
      </c>
      <c r="K186" s="108">
        <f t="shared" si="25"/>
        <v>414.76249951625925</v>
      </c>
      <c r="L186" s="14"/>
      <c r="M186" s="288" t="s">
        <v>68</v>
      </c>
      <c r="N186" s="14">
        <v>100000</v>
      </c>
      <c r="O186" s="14"/>
      <c r="P186" s="180">
        <f>+N186</f>
        <v>100000</v>
      </c>
      <c r="Q186"/>
    </row>
    <row r="187" spans="1:17" ht="27.75" customHeight="1" thickBot="1" x14ac:dyDescent="0.3">
      <c r="A187" s="14"/>
      <c r="B187" s="280">
        <v>2038</v>
      </c>
      <c r="C187" s="111">
        <f t="shared" si="28"/>
        <v>20</v>
      </c>
      <c r="D187" s="292"/>
      <c r="E187" s="110">
        <v>750</v>
      </c>
      <c r="F187" s="283">
        <f t="shared" si="26"/>
        <v>750</v>
      </c>
      <c r="G187" s="284">
        <f t="shared" si="23"/>
        <v>193.81425211040153</v>
      </c>
      <c r="H187" s="293"/>
      <c r="I187" s="107">
        <v>1500</v>
      </c>
      <c r="J187" s="108">
        <f t="shared" si="27"/>
        <v>1500</v>
      </c>
      <c r="K187" s="108">
        <f t="shared" si="25"/>
        <v>387.62850422080305</v>
      </c>
      <c r="L187" s="14"/>
      <c r="M187" s="118" t="s">
        <v>106</v>
      </c>
      <c r="N187" s="119">
        <v>50</v>
      </c>
      <c r="O187" s="119"/>
      <c r="P187" s="181">
        <f>ROUNDUP(+P181*N187,-3)</f>
        <v>383000</v>
      </c>
      <c r="Q187" s="14"/>
    </row>
    <row r="188" spans="1:17" ht="27.75" customHeight="1" x14ac:dyDescent="0.25">
      <c r="A188" s="14"/>
      <c r="B188" s="280">
        <v>2039</v>
      </c>
      <c r="C188" s="111">
        <f t="shared" si="28"/>
        <v>21</v>
      </c>
      <c r="D188" s="292"/>
      <c r="E188" s="110">
        <v>750</v>
      </c>
      <c r="F188" s="283">
        <f t="shared" si="26"/>
        <v>750</v>
      </c>
      <c r="G188" s="284">
        <f t="shared" si="23"/>
        <v>181.13481505645001</v>
      </c>
      <c r="H188" s="298">
        <f>306000</f>
        <v>306000</v>
      </c>
      <c r="I188" s="107">
        <v>1500</v>
      </c>
      <c r="J188" s="108">
        <f t="shared" si="27"/>
        <v>307500</v>
      </c>
      <c r="K188" s="108">
        <f t="shared" si="25"/>
        <v>74265.274173144498</v>
      </c>
      <c r="L188" s="14"/>
      <c r="M188" s="14"/>
      <c r="N188" s="14"/>
      <c r="O188" s="14"/>
      <c r="P188" s="14"/>
      <c r="Q188" s="14"/>
    </row>
    <row r="189" spans="1:17" ht="27.75" customHeight="1" x14ac:dyDescent="0.25">
      <c r="A189" s="14"/>
      <c r="B189" s="280">
        <v>2040</v>
      </c>
      <c r="C189" s="111">
        <f t="shared" si="28"/>
        <v>22</v>
      </c>
      <c r="D189" s="292"/>
      <c r="E189" s="110">
        <v>750</v>
      </c>
      <c r="F189" s="283">
        <f t="shared" si="26"/>
        <v>750</v>
      </c>
      <c r="G189" s="284">
        <f t="shared" si="23"/>
        <v>169.28487388453271</v>
      </c>
      <c r="H189" s="293"/>
      <c r="I189" s="107">
        <v>1500</v>
      </c>
      <c r="J189" s="108">
        <f t="shared" si="27"/>
        <v>1500</v>
      </c>
      <c r="K189" s="108">
        <f t="shared" si="25"/>
        <v>338.56974776906543</v>
      </c>
      <c r="L189" s="14"/>
      <c r="M189" s="14"/>
      <c r="N189" s="14"/>
      <c r="O189" s="14"/>
      <c r="P189" s="14"/>
      <c r="Q189"/>
    </row>
    <row r="190" spans="1:17" ht="27.75" customHeight="1" x14ac:dyDescent="0.25">
      <c r="A190" s="14"/>
      <c r="B190" s="280">
        <v>2041</v>
      </c>
      <c r="C190" s="111">
        <f t="shared" si="28"/>
        <v>23</v>
      </c>
      <c r="D190" s="292"/>
      <c r="E190" s="110">
        <v>750</v>
      </c>
      <c r="F190" s="283">
        <f t="shared" si="26"/>
        <v>750</v>
      </c>
      <c r="G190" s="284">
        <f t="shared" si="23"/>
        <v>158.21016250890909</v>
      </c>
      <c r="H190" s="290"/>
      <c r="I190" s="107">
        <v>1500</v>
      </c>
      <c r="J190" s="108">
        <f t="shared" si="27"/>
        <v>1500</v>
      </c>
      <c r="K190" s="108">
        <f t="shared" si="25"/>
        <v>316.42032501781819</v>
      </c>
      <c r="L190" s="14"/>
      <c r="M190" s="14"/>
      <c r="N190" s="14"/>
      <c r="O190" s="14"/>
      <c r="P190" s="14"/>
      <c r="Q190"/>
    </row>
    <row r="191" spans="1:17" ht="27.75" customHeight="1" x14ac:dyDescent="0.25">
      <c r="A191" s="14"/>
      <c r="B191" s="280">
        <v>2042</v>
      </c>
      <c r="C191" s="111">
        <f t="shared" si="28"/>
        <v>24</v>
      </c>
      <c r="D191" s="292"/>
      <c r="E191" s="110">
        <v>750</v>
      </c>
      <c r="F191" s="283">
        <f t="shared" si="26"/>
        <v>750</v>
      </c>
      <c r="G191" s="284">
        <f t="shared" si="23"/>
        <v>147.85996496159726</v>
      </c>
      <c r="H191" s="293"/>
      <c r="I191" s="107">
        <v>1500</v>
      </c>
      <c r="J191" s="108">
        <f t="shared" si="27"/>
        <v>1500</v>
      </c>
      <c r="K191" s="108">
        <f t="shared" si="25"/>
        <v>295.71992992319451</v>
      </c>
      <c r="L191" s="14"/>
      <c r="M191" s="11"/>
      <c r="N191"/>
      <c r="O191"/>
      <c r="P191"/>
      <c r="Q191"/>
    </row>
    <row r="192" spans="1:17" ht="27.75" customHeight="1" x14ac:dyDescent="0.25">
      <c r="A192" s="14"/>
      <c r="B192" s="280">
        <v>2043</v>
      </c>
      <c r="C192" s="111">
        <f t="shared" si="28"/>
        <v>25</v>
      </c>
      <c r="D192" s="292"/>
      <c r="E192" s="110">
        <v>750</v>
      </c>
      <c r="F192" s="283">
        <f t="shared" si="26"/>
        <v>750</v>
      </c>
      <c r="G192" s="284">
        <f t="shared" si="23"/>
        <v>138.18688314167969</v>
      </c>
      <c r="H192" s="293"/>
      <c r="I192" s="107">
        <v>1500</v>
      </c>
      <c r="J192" s="108">
        <f t="shared" si="27"/>
        <v>1500</v>
      </c>
      <c r="K192" s="108">
        <f t="shared" si="25"/>
        <v>276.37376628335937</v>
      </c>
      <c r="L192" s="14"/>
      <c r="M192" s="11"/>
      <c r="N192"/>
      <c r="O192"/>
      <c r="P192"/>
      <c r="Q192"/>
    </row>
    <row r="193" spans="1:17" ht="27.75" customHeight="1" x14ac:dyDescent="0.25">
      <c r="A193" s="14"/>
      <c r="B193" s="280">
        <v>2044</v>
      </c>
      <c r="C193" s="111">
        <f t="shared" si="28"/>
        <v>26</v>
      </c>
      <c r="D193" s="292"/>
      <c r="E193" s="110">
        <v>750</v>
      </c>
      <c r="F193" s="283">
        <f t="shared" si="26"/>
        <v>750</v>
      </c>
      <c r="G193" s="284">
        <f t="shared" si="23"/>
        <v>129.14661975857916</v>
      </c>
      <c r="H193" s="293"/>
      <c r="I193" s="107">
        <v>1500</v>
      </c>
      <c r="J193" s="108">
        <f t="shared" si="27"/>
        <v>1500</v>
      </c>
      <c r="K193" s="108">
        <f t="shared" si="25"/>
        <v>258.29323951715833</v>
      </c>
      <c r="L193" s="14"/>
      <c r="M193"/>
      <c r="N193"/>
      <c r="O193"/>
      <c r="P193"/>
      <c r="Q193"/>
    </row>
    <row r="194" spans="1:17" ht="27.75" customHeight="1" x14ac:dyDescent="0.25">
      <c r="A194" s="14"/>
      <c r="B194" s="280">
        <v>2045</v>
      </c>
      <c r="C194" s="111">
        <f t="shared" si="28"/>
        <v>27</v>
      </c>
      <c r="D194" s="297"/>
      <c r="E194" s="110">
        <v>750</v>
      </c>
      <c r="F194" s="283">
        <f t="shared" si="26"/>
        <v>750</v>
      </c>
      <c r="G194" s="284">
        <f t="shared" si="23"/>
        <v>120.69777547530759</v>
      </c>
      <c r="H194" s="293"/>
      <c r="I194" s="107">
        <v>1500</v>
      </c>
      <c r="J194" s="108">
        <f t="shared" si="27"/>
        <v>1500</v>
      </c>
      <c r="K194" s="108">
        <f t="shared" si="25"/>
        <v>241.39555095061519</v>
      </c>
      <c r="L194" s="14"/>
      <c r="M194" s="11"/>
      <c r="N194" s="12"/>
      <c r="O194"/>
      <c r="P194" s="168"/>
      <c r="Q194"/>
    </row>
    <row r="195" spans="1:17" ht="27.75" customHeight="1" x14ac:dyDescent="0.25">
      <c r="A195" s="14"/>
      <c r="B195" s="280">
        <v>2046</v>
      </c>
      <c r="C195" s="111">
        <f t="shared" si="28"/>
        <v>28</v>
      </c>
      <c r="D195" s="292"/>
      <c r="E195" s="110">
        <v>750</v>
      </c>
      <c r="F195" s="283">
        <f t="shared" si="26"/>
        <v>750</v>
      </c>
      <c r="G195" s="284">
        <f t="shared" si="23"/>
        <v>112.8016593227174</v>
      </c>
      <c r="H195" s="293"/>
      <c r="I195" s="107">
        <v>1500</v>
      </c>
      <c r="J195" s="108">
        <f t="shared" si="27"/>
        <v>1500</v>
      </c>
      <c r="K195" s="108">
        <f t="shared" si="25"/>
        <v>225.6033186454348</v>
      </c>
      <c r="L195" s="14"/>
      <c r="M195" s="11"/>
      <c r="N195"/>
      <c r="O195"/>
      <c r="P195" s="168"/>
      <c r="Q195"/>
    </row>
    <row r="196" spans="1:17" ht="27.75" customHeight="1" x14ac:dyDescent="0.25">
      <c r="A196" s="14"/>
      <c r="B196" s="280">
        <v>2047</v>
      </c>
      <c r="C196" s="111">
        <f t="shared" si="28"/>
        <v>29</v>
      </c>
      <c r="D196" s="292"/>
      <c r="E196" s="110">
        <v>750</v>
      </c>
      <c r="F196" s="283">
        <f t="shared" si="26"/>
        <v>750</v>
      </c>
      <c r="G196" s="284">
        <f t="shared" si="23"/>
        <v>105.42211151655832</v>
      </c>
      <c r="H196" s="293"/>
      <c r="I196" s="107">
        <v>1500</v>
      </c>
      <c r="J196" s="108">
        <f t="shared" si="27"/>
        <v>1500</v>
      </c>
      <c r="K196" s="108">
        <f t="shared" si="25"/>
        <v>210.84422303311663</v>
      </c>
      <c r="L196" s="14"/>
      <c r="M196" s="11"/>
      <c r="N196"/>
      <c r="O196"/>
      <c r="P196" s="168"/>
      <c r="Q196"/>
    </row>
    <row r="197" spans="1:17" ht="27.75" customHeight="1" x14ac:dyDescent="0.25">
      <c r="A197" s="14"/>
      <c r="B197" s="280">
        <v>2048</v>
      </c>
      <c r="C197" s="111">
        <f t="shared" si="28"/>
        <v>30</v>
      </c>
      <c r="D197" s="292"/>
      <c r="E197" s="110">
        <v>750</v>
      </c>
      <c r="F197" s="283">
        <f t="shared" si="26"/>
        <v>750</v>
      </c>
      <c r="G197" s="284">
        <f t="shared" si="23"/>
        <v>98.525337865942362</v>
      </c>
      <c r="H197" s="293">
        <f>153000</f>
        <v>153000</v>
      </c>
      <c r="I197" s="107">
        <v>1500</v>
      </c>
      <c r="J197" s="108">
        <f t="shared" si="27"/>
        <v>154500</v>
      </c>
      <c r="K197" s="108">
        <f t="shared" si="25"/>
        <v>20296.219600384124</v>
      </c>
      <c r="L197" s="14"/>
      <c r="M197" s="11"/>
      <c r="N197"/>
      <c r="O197"/>
      <c r="P197" s="168"/>
      <c r="Q197"/>
    </row>
    <row r="198" spans="1:17" ht="27.75" customHeight="1" x14ac:dyDescent="0.25">
      <c r="A198" s="14"/>
      <c r="B198" s="397">
        <v>2049</v>
      </c>
      <c r="C198" s="398">
        <f t="shared" si="28"/>
        <v>31</v>
      </c>
      <c r="D198" s="169"/>
      <c r="E198" s="407">
        <v>750</v>
      </c>
      <c r="F198" s="400">
        <f t="shared" si="26"/>
        <v>750</v>
      </c>
      <c r="G198" s="401">
        <f t="shared" si="23"/>
        <v>92.079755014899376</v>
      </c>
      <c r="H198" s="170"/>
      <c r="I198" s="402">
        <v>1500</v>
      </c>
      <c r="J198" s="403">
        <f t="shared" si="27"/>
        <v>1500</v>
      </c>
      <c r="K198" s="403">
        <f t="shared" si="25"/>
        <v>184.15951002979875</v>
      </c>
      <c r="L198" s="14"/>
      <c r="M198" s="14"/>
      <c r="N198" s="14"/>
      <c r="O198" s="14"/>
      <c r="P198" s="14"/>
      <c r="Q198" s="14"/>
    </row>
    <row r="199" spans="1:17" ht="27.75" customHeight="1" x14ac:dyDescent="0.25">
      <c r="A199" s="14"/>
      <c r="B199" s="125"/>
      <c r="C199" s="404"/>
      <c r="D199" s="111"/>
      <c r="E199" s="113"/>
      <c r="F199" s="126"/>
      <c r="G199" s="127"/>
      <c r="H199" s="113"/>
      <c r="I199" s="113"/>
      <c r="J199" s="127"/>
      <c r="K199" s="127"/>
      <c r="L199" s="14"/>
      <c r="M199" s="14"/>
      <c r="N199" s="14"/>
      <c r="O199" s="14"/>
      <c r="P199" s="14"/>
      <c r="Q199" s="14"/>
    </row>
    <row r="200" spans="1:17" ht="27.75" customHeight="1" thickBot="1" x14ac:dyDescent="0.3">
      <c r="A200" s="14"/>
      <c r="B200" s="125"/>
      <c r="C200" s="128"/>
      <c r="D200" s="128"/>
      <c r="E200" s="129"/>
      <c r="F200" s="126"/>
      <c r="G200" s="127"/>
      <c r="H200" s="130"/>
      <c r="I200" s="113"/>
      <c r="J200" s="127"/>
      <c r="K200" s="127"/>
      <c r="L200" s="14"/>
      <c r="M200" s="14"/>
      <c r="N200" s="14"/>
      <c r="O200" s="14"/>
      <c r="P200" s="14"/>
      <c r="Q200" s="14"/>
    </row>
    <row r="201" spans="1:17" ht="47.25" customHeight="1" x14ac:dyDescent="0.25">
      <c r="A201" s="14"/>
      <c r="B201" s="131"/>
      <c r="C201" s="128"/>
      <c r="D201" s="128"/>
      <c r="E201" s="132"/>
      <c r="F201" s="127"/>
      <c r="G201" s="133" t="s">
        <v>70</v>
      </c>
      <c r="H201" s="134"/>
      <c r="I201" s="113"/>
      <c r="J201" s="127"/>
      <c r="K201" s="135" t="s">
        <v>71</v>
      </c>
      <c r="L201" s="127"/>
      <c r="M201" s="14"/>
      <c r="N201" s="14"/>
      <c r="O201" s="14"/>
      <c r="P201" s="14"/>
      <c r="Q201" s="14"/>
    </row>
    <row r="202" spans="1:17" ht="27.75" customHeight="1" x14ac:dyDescent="0.25">
      <c r="A202" s="14"/>
      <c r="B202" s="131"/>
      <c r="C202" s="131"/>
      <c r="D202" s="131"/>
      <c r="E202" s="14"/>
      <c r="F202" s="131"/>
      <c r="G202" s="245" t="s">
        <v>72</v>
      </c>
      <c r="H202" s="131"/>
      <c r="I202" s="131"/>
      <c r="J202" s="14"/>
      <c r="K202" s="246" t="s">
        <v>72</v>
      </c>
      <c r="L202" s="14"/>
      <c r="M202" s="14"/>
      <c r="N202" s="14"/>
      <c r="O202" s="14"/>
      <c r="P202" s="14"/>
      <c r="Q202" s="14"/>
    </row>
    <row r="203" spans="1:17" ht="27.75" customHeight="1" thickBot="1" x14ac:dyDescent="0.3">
      <c r="A203" s="14"/>
      <c r="B203" s="131"/>
      <c r="C203" s="136"/>
      <c r="D203" s="136"/>
      <c r="E203" s="137"/>
      <c r="F203" s="136"/>
      <c r="G203" s="138">
        <f>SUM(G167:G198)</f>
        <v>248610.44165651209</v>
      </c>
      <c r="H203" s="131"/>
      <c r="I203" s="131"/>
      <c r="J203" s="14"/>
      <c r="K203" s="139">
        <f>SUM(K167:K198)</f>
        <v>177249.28222503493</v>
      </c>
      <c r="L203" s="14"/>
      <c r="M203" s="14"/>
      <c r="N203" s="14"/>
      <c r="O203" s="14"/>
      <c r="P203" s="14"/>
      <c r="Q203" s="14"/>
    </row>
    <row r="204" spans="1:17" ht="27" customHeight="1" thickBot="1" x14ac:dyDescent="0.3">
      <c r="A204" s="14"/>
      <c r="B204" s="140" t="s">
        <v>73</v>
      </c>
      <c r="C204" s="136"/>
      <c r="D204" s="136"/>
      <c r="E204" s="131"/>
      <c r="F204" s="136"/>
      <c r="G204" s="141"/>
      <c r="H204" s="131"/>
      <c r="I204" s="131"/>
      <c r="J204" s="131"/>
      <c r="K204" s="137"/>
      <c r="L204" s="14"/>
      <c r="M204" s="14"/>
      <c r="N204" s="14"/>
      <c r="O204" s="14"/>
      <c r="P204" s="14"/>
      <c r="Q204" s="14"/>
    </row>
    <row r="205" spans="1:17" ht="34.5" customHeight="1" x14ac:dyDescent="0.25">
      <c r="A205" s="14"/>
      <c r="B205" s="142" t="s">
        <v>74</v>
      </c>
      <c r="C205" s="143"/>
      <c r="D205" s="144">
        <v>7.0000000000000007E-2</v>
      </c>
      <c r="E205" s="14"/>
      <c r="F205" s="14"/>
      <c r="G205" s="14"/>
      <c r="H205" s="131"/>
      <c r="I205" s="171" t="s">
        <v>75</v>
      </c>
      <c r="J205" s="137"/>
      <c r="K205" s="14"/>
      <c r="L205" s="137"/>
      <c r="M205" s="14"/>
      <c r="N205" s="14"/>
      <c r="O205" s="14"/>
      <c r="P205" s="142"/>
      <c r="Q205" s="14"/>
    </row>
    <row r="206" spans="1:17" ht="27.75" customHeight="1" thickBot="1" x14ac:dyDescent="0.3">
      <c r="A206" s="14"/>
      <c r="B206" s="145"/>
      <c r="C206" s="146"/>
      <c r="D206" s="14"/>
      <c r="E206" s="14"/>
      <c r="F206" s="131"/>
      <c r="G206" s="147"/>
      <c r="H206" s="147"/>
      <c r="I206" s="172">
        <f>G203/K203</f>
        <v>1.4026033760795564</v>
      </c>
      <c r="J206" s="14"/>
      <c r="K206" s="14"/>
      <c r="L206" s="14"/>
      <c r="M206" s="14"/>
      <c r="N206" s="14"/>
      <c r="O206" s="14"/>
      <c r="P206" s="142"/>
      <c r="Q206" s="14"/>
    </row>
    <row r="207" spans="1:17" ht="18" customHeight="1" x14ac:dyDescent="0.25"/>
    <row r="208" spans="1:17" ht="18" customHeight="1" x14ac:dyDescent="0.25"/>
    <row r="209" spans="1:18" ht="18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</row>
    <row r="210" spans="1:18" ht="18" customHeight="1" x14ac:dyDescent="0.25"/>
    <row r="211" spans="1:18" ht="18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</row>
    <row r="212" spans="1:18" ht="48.75" customHeight="1" x14ac:dyDescent="0.4">
      <c r="A212" s="14"/>
      <c r="B212" s="558" t="s">
        <v>113</v>
      </c>
      <c r="C212" s="558"/>
      <c r="D212" s="558"/>
      <c r="E212" s="558"/>
      <c r="F212" s="558"/>
      <c r="G212" s="558"/>
      <c r="H212" s="558"/>
      <c r="I212" s="558"/>
      <c r="J212" s="558"/>
      <c r="K212" s="558"/>
      <c r="L212" s="14"/>
      <c r="M212" s="14"/>
      <c r="N212" s="14"/>
      <c r="O212" s="14"/>
      <c r="P212" s="14"/>
    </row>
    <row r="213" spans="1:18" ht="26.25" customHeight="1" x14ac:dyDescent="0.4">
      <c r="A213" s="14"/>
      <c r="B213" s="102" t="s">
        <v>42</v>
      </c>
      <c r="C213" s="102"/>
      <c r="D213" s="102"/>
      <c r="E213" s="102"/>
      <c r="F213" s="102"/>
      <c r="G213" s="182"/>
      <c r="H213" s="182"/>
      <c r="I213" s="182"/>
      <c r="J213" s="182"/>
      <c r="K213" s="182"/>
      <c r="L213" s="14"/>
      <c r="M213" s="14"/>
      <c r="N213" s="14"/>
      <c r="O213" s="14"/>
      <c r="P213" s="14"/>
    </row>
    <row r="214" spans="1:18" ht="26.25" customHeight="1" x14ac:dyDescent="0.4">
      <c r="A214" s="14"/>
      <c r="B214" s="103" t="s">
        <v>43</v>
      </c>
      <c r="C214" s="103"/>
      <c r="D214" s="103"/>
      <c r="E214" s="104"/>
      <c r="F214" s="14"/>
      <c r="G214" s="105"/>
      <c r="H214" s="14"/>
      <c r="I214" s="14"/>
      <c r="J214" s="14"/>
      <c r="K214" s="14"/>
      <c r="L214" s="14"/>
      <c r="M214" s="14"/>
      <c r="N214" s="14"/>
      <c r="O214" s="14"/>
      <c r="P214" s="14"/>
    </row>
    <row r="215" spans="1:18" ht="47.25" customHeight="1" x14ac:dyDescent="0.3">
      <c r="A215" s="14"/>
      <c r="B215" s="560" t="s">
        <v>114</v>
      </c>
      <c r="C215" s="560"/>
      <c r="D215" s="560"/>
      <c r="E215" s="560"/>
      <c r="F215" s="560"/>
      <c r="G215" s="560"/>
      <c r="H215" s="560"/>
      <c r="I215" s="560"/>
      <c r="J215" s="14"/>
      <c r="K215" s="14"/>
      <c r="L215" s="14"/>
      <c r="M215" s="14"/>
      <c r="N215" s="14"/>
      <c r="O215" s="14"/>
      <c r="P215" s="14"/>
    </row>
    <row r="216" spans="1:18" ht="45" customHeight="1" x14ac:dyDescent="0.35">
      <c r="A216" s="14"/>
      <c r="B216" s="551" t="s">
        <v>115</v>
      </c>
      <c r="C216" s="551"/>
      <c r="D216" s="551"/>
      <c r="E216" s="551"/>
      <c r="F216" s="551"/>
      <c r="G216" s="551"/>
      <c r="H216" s="551"/>
      <c r="I216" s="551"/>
      <c r="J216" s="551"/>
      <c r="K216" s="551"/>
      <c r="L216" s="14"/>
      <c r="M216" s="14"/>
      <c r="N216" s="14"/>
      <c r="O216" s="14"/>
      <c r="P216" s="14"/>
    </row>
    <row r="217" spans="1:18" ht="26.25" customHeight="1" x14ac:dyDescent="0.25">
      <c r="A217" s="14"/>
      <c r="B217" s="551" t="s">
        <v>116</v>
      </c>
      <c r="C217" s="551"/>
      <c r="D217" s="551"/>
      <c r="E217" s="551"/>
      <c r="F217" s="551"/>
      <c r="G217" s="551"/>
      <c r="H217" s="551"/>
      <c r="I217" s="551"/>
      <c r="J217" s="551"/>
      <c r="K217" s="551"/>
      <c r="L217" s="14"/>
      <c r="M217" s="14"/>
      <c r="N217" s="14"/>
      <c r="O217" s="14"/>
      <c r="P217" s="14"/>
    </row>
    <row r="218" spans="1:18" ht="37.5" customHeight="1" thickBot="1" x14ac:dyDescent="0.3">
      <c r="A218" s="14"/>
      <c r="B218" s="551"/>
      <c r="C218" s="551"/>
      <c r="D218" s="551"/>
      <c r="E218" s="551"/>
      <c r="F218" s="551"/>
      <c r="G218" s="551"/>
      <c r="H218" s="551"/>
      <c r="I218" s="551"/>
      <c r="J218" s="551"/>
      <c r="K218" s="551"/>
      <c r="L218" s="14"/>
      <c r="M218" s="14"/>
      <c r="N218" s="14"/>
      <c r="O218" s="14"/>
      <c r="P218" s="14"/>
    </row>
    <row r="219" spans="1:18" ht="40.5" customHeight="1" x14ac:dyDescent="0.25">
      <c r="A219" s="14"/>
      <c r="B219" s="14"/>
      <c r="C219" s="14"/>
      <c r="D219" s="552" t="s">
        <v>47</v>
      </c>
      <c r="E219" s="553"/>
      <c r="F219" s="553"/>
      <c r="G219" s="554"/>
      <c r="H219" s="561" t="s">
        <v>117</v>
      </c>
      <c r="I219" s="562"/>
      <c r="J219" s="562"/>
      <c r="K219" s="563"/>
      <c r="L219" s="14"/>
      <c r="M219" s="14"/>
      <c r="N219" s="14"/>
      <c r="O219" s="14"/>
      <c r="P219" s="14"/>
    </row>
    <row r="220" spans="1:18" ht="68.25" customHeight="1" x14ac:dyDescent="0.25">
      <c r="A220" s="14"/>
      <c r="B220" s="386" t="s">
        <v>30</v>
      </c>
      <c r="C220" s="387" t="s">
        <v>49</v>
      </c>
      <c r="D220" s="388" t="s">
        <v>50</v>
      </c>
      <c r="E220" s="389" t="s">
        <v>51</v>
      </c>
      <c r="F220" s="390" t="s">
        <v>52</v>
      </c>
      <c r="G220" s="391" t="s">
        <v>53</v>
      </c>
      <c r="H220" s="392" t="s">
        <v>50</v>
      </c>
      <c r="I220" s="393" t="s">
        <v>54</v>
      </c>
      <c r="J220" s="394" t="s">
        <v>55</v>
      </c>
      <c r="K220" s="243" t="s">
        <v>56</v>
      </c>
      <c r="L220" s="14"/>
      <c r="M220" s="564" t="s">
        <v>118</v>
      </c>
      <c r="N220" s="565"/>
      <c r="O220" s="565"/>
      <c r="P220" s="14"/>
    </row>
    <row r="221" spans="1:18" ht="26.25" customHeight="1" x14ac:dyDescent="0.25">
      <c r="A221" s="14"/>
      <c r="B221" s="280">
        <v>2018</v>
      </c>
      <c r="C221" s="281">
        <v>0</v>
      </c>
      <c r="D221" s="292"/>
      <c r="E221" s="110"/>
      <c r="F221" s="283">
        <f>SUM(D221:E221)</f>
        <v>0</v>
      </c>
      <c r="G221" s="284">
        <f t="shared" ref="G221:G252" si="30">(F221/(1+0.07)^$C221)</f>
        <v>0</v>
      </c>
      <c r="H221" s="293"/>
      <c r="I221" s="107">
        <v>0</v>
      </c>
      <c r="J221" s="108">
        <f t="shared" ref="J221:J222" si="31">SUM(H221:I221)</f>
        <v>0</v>
      </c>
      <c r="K221" s="109">
        <f t="shared" ref="K221:K252" si="32">J221/(1+0.07)^$C221</f>
        <v>0</v>
      </c>
      <c r="L221" s="14"/>
      <c r="M221" s="14" t="s">
        <v>58</v>
      </c>
      <c r="N221" s="14"/>
      <c r="O221" s="14"/>
      <c r="P221" s="14"/>
    </row>
    <row r="222" spans="1:18" ht="26.25" customHeight="1" x14ac:dyDescent="0.25">
      <c r="A222" s="14"/>
      <c r="B222" s="280">
        <v>2019</v>
      </c>
      <c r="C222" s="281">
        <v>1</v>
      </c>
      <c r="D222" s="292"/>
      <c r="E222" s="110"/>
      <c r="F222" s="283">
        <f t="shared" ref="F222:F252" si="33">SUM(D222:E222)</f>
        <v>0</v>
      </c>
      <c r="G222" s="284">
        <f t="shared" si="30"/>
        <v>0</v>
      </c>
      <c r="H222" s="293"/>
      <c r="I222" s="107">
        <v>0</v>
      </c>
      <c r="J222" s="108">
        <f t="shared" si="31"/>
        <v>0</v>
      </c>
      <c r="K222" s="109">
        <f t="shared" si="32"/>
        <v>0</v>
      </c>
      <c r="L222" s="14"/>
      <c r="M222" s="14" t="s">
        <v>119</v>
      </c>
      <c r="N222" s="14"/>
      <c r="O222" s="14"/>
      <c r="P222" s="14"/>
    </row>
    <row r="223" spans="1:18" ht="26.25" customHeight="1" x14ac:dyDescent="0.25">
      <c r="A223" s="14"/>
      <c r="B223" s="280">
        <v>2020</v>
      </c>
      <c r="C223" s="281">
        <v>2</v>
      </c>
      <c r="D223" s="294">
        <f>356000+200000+324000</f>
        <v>880000</v>
      </c>
      <c r="E223" s="110">
        <v>7000</v>
      </c>
      <c r="F223" s="283">
        <f t="shared" si="33"/>
        <v>887000</v>
      </c>
      <c r="G223" s="284">
        <f t="shared" si="30"/>
        <v>774740.15197833872</v>
      </c>
      <c r="H223" s="293"/>
      <c r="I223" s="107">
        <v>7000</v>
      </c>
      <c r="J223" s="108">
        <f t="shared" ref="J223:J252" si="34">SUM(H223:I223)</f>
        <v>7000</v>
      </c>
      <c r="K223" s="109">
        <f t="shared" si="32"/>
        <v>6114.0710979124815</v>
      </c>
      <c r="L223" s="14"/>
      <c r="M223" s="14"/>
      <c r="N223" s="14"/>
      <c r="O223" s="14"/>
      <c r="P223" s="14"/>
    </row>
    <row r="224" spans="1:18" ht="26.25" customHeight="1" thickBot="1" x14ac:dyDescent="0.35">
      <c r="A224" s="14"/>
      <c r="B224" s="280">
        <v>2021</v>
      </c>
      <c r="C224" s="281">
        <f>1+C223</f>
        <v>3</v>
      </c>
      <c r="D224" s="294"/>
      <c r="E224" s="110">
        <v>7000</v>
      </c>
      <c r="F224" s="283">
        <f t="shared" si="33"/>
        <v>7000</v>
      </c>
      <c r="G224" s="284">
        <f t="shared" si="30"/>
        <v>5714.0851382359633</v>
      </c>
      <c r="H224" s="293"/>
      <c r="I224" s="107">
        <v>7000</v>
      </c>
      <c r="J224" s="108">
        <f t="shared" si="34"/>
        <v>7000</v>
      </c>
      <c r="K224" s="109">
        <f t="shared" si="32"/>
        <v>5714.0851382359633</v>
      </c>
      <c r="L224" s="14"/>
      <c r="M224" s="183" t="s">
        <v>120</v>
      </c>
      <c r="N224" s="14"/>
      <c r="O224" s="14"/>
      <c r="P224" s="14"/>
    </row>
    <row r="225" spans="1:16" ht="26.25" customHeight="1" x14ac:dyDescent="0.25">
      <c r="A225" s="14"/>
      <c r="B225" s="280">
        <v>2022</v>
      </c>
      <c r="C225" s="281">
        <f t="shared" ref="C225:C252" si="35">C224+1</f>
        <v>4</v>
      </c>
      <c r="D225" s="292"/>
      <c r="E225" s="110">
        <v>7000</v>
      </c>
      <c r="F225" s="283">
        <f t="shared" si="33"/>
        <v>7000</v>
      </c>
      <c r="G225" s="284">
        <f t="shared" si="30"/>
        <v>5340.2664843326766</v>
      </c>
      <c r="H225" s="293"/>
      <c r="I225" s="107">
        <v>0</v>
      </c>
      <c r="J225" s="108">
        <f t="shared" si="34"/>
        <v>0</v>
      </c>
      <c r="K225" s="109">
        <f t="shared" si="32"/>
        <v>0</v>
      </c>
      <c r="L225" s="14"/>
      <c r="M225" s="244"/>
      <c r="N225" s="395"/>
      <c r="O225" s="395"/>
      <c r="P225" s="396"/>
    </row>
    <row r="226" spans="1:16" ht="26.25" customHeight="1" x14ac:dyDescent="0.25">
      <c r="A226" s="14"/>
      <c r="B226" s="280">
        <v>2023</v>
      </c>
      <c r="C226" s="281">
        <f t="shared" si="35"/>
        <v>5</v>
      </c>
      <c r="D226" s="292"/>
      <c r="E226" s="110">
        <v>7000</v>
      </c>
      <c r="F226" s="283">
        <f t="shared" si="33"/>
        <v>7000</v>
      </c>
      <c r="G226" s="284">
        <f t="shared" si="30"/>
        <v>4990.9032563856781</v>
      </c>
      <c r="H226" s="293"/>
      <c r="I226" s="107">
        <v>0</v>
      </c>
      <c r="J226" s="108">
        <f t="shared" si="34"/>
        <v>0</v>
      </c>
      <c r="K226" s="109">
        <f t="shared" si="32"/>
        <v>0</v>
      </c>
      <c r="L226" s="14"/>
      <c r="M226" s="288" t="s">
        <v>61</v>
      </c>
      <c r="N226" s="14">
        <v>2040</v>
      </c>
      <c r="O226" s="14"/>
      <c r="P226" s="112"/>
    </row>
    <row r="227" spans="1:16" ht="26.25" customHeight="1" x14ac:dyDescent="0.25">
      <c r="A227" s="14"/>
      <c r="B227" s="280">
        <v>2024</v>
      </c>
      <c r="C227" s="281">
        <f t="shared" si="35"/>
        <v>6</v>
      </c>
      <c r="D227" s="292"/>
      <c r="E227" s="110">
        <v>7000</v>
      </c>
      <c r="F227" s="283">
        <f t="shared" si="33"/>
        <v>7000</v>
      </c>
      <c r="G227" s="284">
        <f t="shared" si="30"/>
        <v>4664.3955667155878</v>
      </c>
      <c r="H227" s="293"/>
      <c r="I227" s="107">
        <v>0</v>
      </c>
      <c r="J227" s="108">
        <f t="shared" si="34"/>
        <v>0</v>
      </c>
      <c r="K227" s="109">
        <f t="shared" si="32"/>
        <v>0</v>
      </c>
      <c r="L227" s="14"/>
      <c r="M227" s="288" t="s">
        <v>62</v>
      </c>
      <c r="N227" s="14">
        <v>2033</v>
      </c>
      <c r="O227" s="14">
        <v>2049</v>
      </c>
      <c r="P227" s="112"/>
    </row>
    <row r="228" spans="1:16" ht="26.25" customHeight="1" x14ac:dyDescent="0.25">
      <c r="A228" s="14"/>
      <c r="B228" s="280">
        <v>2025</v>
      </c>
      <c r="C228" s="281">
        <f t="shared" si="35"/>
        <v>7</v>
      </c>
      <c r="D228" s="292" t="s">
        <v>60</v>
      </c>
      <c r="E228" s="110">
        <v>7000</v>
      </c>
      <c r="F228" s="283">
        <f t="shared" si="33"/>
        <v>7000</v>
      </c>
      <c r="G228" s="284">
        <f t="shared" si="30"/>
        <v>4359.2481931921375</v>
      </c>
      <c r="H228" s="293"/>
      <c r="I228" s="107">
        <v>0</v>
      </c>
      <c r="J228" s="108">
        <f t="shared" si="34"/>
        <v>0</v>
      </c>
      <c r="K228" s="109">
        <f t="shared" si="32"/>
        <v>0</v>
      </c>
      <c r="L228" s="14"/>
      <c r="M228" s="288"/>
      <c r="N228" s="14"/>
      <c r="O228" s="14"/>
      <c r="P228" s="112"/>
    </row>
    <row r="229" spans="1:16" ht="26.25" customHeight="1" x14ac:dyDescent="0.25">
      <c r="A229" s="14"/>
      <c r="B229" s="280">
        <v>2026</v>
      </c>
      <c r="C229" s="111">
        <f t="shared" si="35"/>
        <v>8</v>
      </c>
      <c r="D229" s="292"/>
      <c r="E229" s="110">
        <v>1500</v>
      </c>
      <c r="F229" s="283">
        <f t="shared" si="33"/>
        <v>1500</v>
      </c>
      <c r="G229" s="284">
        <f t="shared" si="30"/>
        <v>873.01365684755763</v>
      </c>
      <c r="H229" s="293"/>
      <c r="I229" s="107">
        <f>2000+1000</f>
        <v>3000</v>
      </c>
      <c r="J229" s="108">
        <f t="shared" si="34"/>
        <v>3000</v>
      </c>
      <c r="K229" s="109">
        <f t="shared" si="32"/>
        <v>1746.0273136951153</v>
      </c>
      <c r="L229" s="14"/>
      <c r="M229" s="288"/>
      <c r="N229" s="14"/>
      <c r="O229" s="114"/>
      <c r="P229" s="179"/>
    </row>
    <row r="230" spans="1:16" ht="26.25" customHeight="1" x14ac:dyDescent="0.25">
      <c r="A230" s="14"/>
      <c r="B230" s="280">
        <v>2027</v>
      </c>
      <c r="C230" s="111">
        <f t="shared" si="35"/>
        <v>9</v>
      </c>
      <c r="D230" s="292"/>
      <c r="E230" s="110">
        <v>1500</v>
      </c>
      <c r="F230" s="283">
        <f t="shared" si="33"/>
        <v>1500</v>
      </c>
      <c r="G230" s="284">
        <f t="shared" si="30"/>
        <v>815.900613876222</v>
      </c>
      <c r="H230" s="293"/>
      <c r="I230" s="107">
        <f t="shared" ref="I230:I252" si="36">2000+1000</f>
        <v>3000</v>
      </c>
      <c r="J230" s="108">
        <f t="shared" si="34"/>
        <v>3000</v>
      </c>
      <c r="K230" s="109">
        <f t="shared" si="32"/>
        <v>1631.801227752444</v>
      </c>
      <c r="L230" s="14"/>
      <c r="M230" s="288"/>
      <c r="N230" s="14"/>
      <c r="O230" s="14"/>
      <c r="P230" s="112"/>
    </row>
    <row r="231" spans="1:16" ht="26.25" customHeight="1" x14ac:dyDescent="0.25">
      <c r="A231" s="14"/>
      <c r="B231" s="280">
        <v>2028</v>
      </c>
      <c r="C231" s="111">
        <f t="shared" si="35"/>
        <v>10</v>
      </c>
      <c r="D231" s="292"/>
      <c r="E231" s="110">
        <v>1500</v>
      </c>
      <c r="F231" s="283">
        <f t="shared" si="33"/>
        <v>1500</v>
      </c>
      <c r="G231" s="284">
        <f t="shared" si="30"/>
        <v>762.52393820207669</v>
      </c>
      <c r="H231" s="293"/>
      <c r="I231" s="107">
        <f t="shared" si="36"/>
        <v>3000</v>
      </c>
      <c r="J231" s="108">
        <f t="shared" si="34"/>
        <v>3000</v>
      </c>
      <c r="K231" s="109">
        <f t="shared" si="32"/>
        <v>1525.0478764041534</v>
      </c>
      <c r="L231" s="14"/>
      <c r="M231" s="288"/>
      <c r="N231" s="14"/>
      <c r="O231" s="14"/>
      <c r="P231" s="112"/>
    </row>
    <row r="232" spans="1:16" ht="26.25" customHeight="1" x14ac:dyDescent="0.25">
      <c r="A232" s="14"/>
      <c r="B232" s="280">
        <v>2029</v>
      </c>
      <c r="C232" s="111">
        <f t="shared" si="35"/>
        <v>11</v>
      </c>
      <c r="D232" s="292"/>
      <c r="E232" s="110">
        <v>1500</v>
      </c>
      <c r="F232" s="283">
        <f t="shared" si="33"/>
        <v>1500</v>
      </c>
      <c r="G232" s="284">
        <f t="shared" si="30"/>
        <v>712.63919458138002</v>
      </c>
      <c r="H232" s="293"/>
      <c r="I232" s="107">
        <f t="shared" si="36"/>
        <v>3000</v>
      </c>
      <c r="J232" s="108">
        <f t="shared" si="34"/>
        <v>3000</v>
      </c>
      <c r="K232" s="108">
        <f t="shared" si="32"/>
        <v>1425.27838916276</v>
      </c>
      <c r="L232" s="14"/>
      <c r="M232" s="288" t="s">
        <v>121</v>
      </c>
      <c r="N232" s="14">
        <v>43.25</v>
      </c>
      <c r="O232" s="14">
        <f>128+283</f>
        <v>411</v>
      </c>
      <c r="P232" s="112">
        <f>+O232*N232</f>
        <v>17775.75</v>
      </c>
    </row>
    <row r="233" spans="1:16" ht="26.25" customHeight="1" x14ac:dyDescent="0.25">
      <c r="A233" s="14"/>
      <c r="B233" s="280">
        <v>2030</v>
      </c>
      <c r="C233" s="111">
        <f t="shared" si="35"/>
        <v>12</v>
      </c>
      <c r="D233" s="292"/>
      <c r="E233" s="110">
        <v>1500</v>
      </c>
      <c r="F233" s="283">
        <f t="shared" si="33"/>
        <v>1500</v>
      </c>
      <c r="G233" s="284">
        <f t="shared" si="30"/>
        <v>666.01793886110295</v>
      </c>
      <c r="H233" s="293"/>
      <c r="I233" s="107">
        <f t="shared" si="36"/>
        <v>3000</v>
      </c>
      <c r="J233" s="108">
        <f t="shared" si="34"/>
        <v>3000</v>
      </c>
      <c r="K233" s="108">
        <f t="shared" si="32"/>
        <v>1332.0358777222059</v>
      </c>
      <c r="L233" s="14"/>
      <c r="M233" s="288"/>
      <c r="N233" s="14"/>
      <c r="O233" s="14"/>
      <c r="P233" s="112"/>
    </row>
    <row r="234" spans="1:16" ht="26.25" customHeight="1" x14ac:dyDescent="0.25">
      <c r="A234" s="14"/>
      <c r="B234" s="280">
        <v>2031</v>
      </c>
      <c r="C234" s="111">
        <f t="shared" si="35"/>
        <v>13</v>
      </c>
      <c r="D234" s="292"/>
      <c r="E234" s="110">
        <v>1500</v>
      </c>
      <c r="F234" s="283">
        <f t="shared" si="33"/>
        <v>1500</v>
      </c>
      <c r="G234" s="284">
        <f t="shared" si="30"/>
        <v>622.44667183280637</v>
      </c>
      <c r="H234" s="293"/>
      <c r="I234" s="107">
        <f t="shared" si="36"/>
        <v>3000</v>
      </c>
      <c r="J234" s="108">
        <f t="shared" si="34"/>
        <v>3000</v>
      </c>
      <c r="K234" s="108">
        <f t="shared" si="32"/>
        <v>1244.8933436656127</v>
      </c>
      <c r="L234" s="14"/>
      <c r="M234" s="288" t="s">
        <v>65</v>
      </c>
      <c r="N234" s="114">
        <v>40</v>
      </c>
      <c r="O234" s="114"/>
      <c r="P234" s="116">
        <f>ROUNDUP(+$P$232*N234,-3)</f>
        <v>712000</v>
      </c>
    </row>
    <row r="235" spans="1:16" ht="26.25" customHeight="1" x14ac:dyDescent="0.25">
      <c r="A235" s="14"/>
      <c r="B235" s="280">
        <v>2032</v>
      </c>
      <c r="C235" s="111">
        <f t="shared" si="35"/>
        <v>14</v>
      </c>
      <c r="D235" s="292"/>
      <c r="E235" s="110">
        <v>1500</v>
      </c>
      <c r="F235" s="283">
        <f t="shared" si="33"/>
        <v>1500</v>
      </c>
      <c r="G235" s="284">
        <f t="shared" si="30"/>
        <v>581.7258615259874</v>
      </c>
      <c r="H235" s="293"/>
      <c r="I235" s="107">
        <f t="shared" si="36"/>
        <v>3000</v>
      </c>
      <c r="J235" s="108">
        <f t="shared" si="34"/>
        <v>3000</v>
      </c>
      <c r="K235" s="108">
        <f t="shared" si="32"/>
        <v>1163.4517230519748</v>
      </c>
      <c r="L235" s="14"/>
      <c r="M235" s="288" t="s">
        <v>66</v>
      </c>
      <c r="N235" s="114">
        <v>10</v>
      </c>
      <c r="O235" s="114"/>
      <c r="P235" s="116">
        <f>ROUNDUP(+$P$232*N235,-3)</f>
        <v>178000</v>
      </c>
    </row>
    <row r="236" spans="1:16" ht="26.25" customHeight="1" x14ac:dyDescent="0.25">
      <c r="A236" s="14"/>
      <c r="B236" s="280">
        <v>2033</v>
      </c>
      <c r="C236" s="111">
        <f t="shared" si="35"/>
        <v>15</v>
      </c>
      <c r="D236" s="292"/>
      <c r="E236" s="110">
        <v>1500</v>
      </c>
      <c r="F236" s="283">
        <f t="shared" si="33"/>
        <v>1500</v>
      </c>
      <c r="G236" s="284">
        <f t="shared" si="30"/>
        <v>543.66902946353946</v>
      </c>
      <c r="H236" s="293">
        <f>356000+324000</f>
        <v>680000</v>
      </c>
      <c r="I236" s="107">
        <f t="shared" si="36"/>
        <v>3000</v>
      </c>
      <c r="J236" s="108">
        <f t="shared" si="34"/>
        <v>683000</v>
      </c>
      <c r="K236" s="108">
        <f t="shared" si="32"/>
        <v>247550.63141573165</v>
      </c>
      <c r="L236" s="14"/>
      <c r="M236" s="288" t="s">
        <v>67</v>
      </c>
      <c r="N236" s="114">
        <v>20</v>
      </c>
      <c r="O236" s="114"/>
      <c r="P236" s="116">
        <f>ROUNDUP(+$P$232*N236,-3)</f>
        <v>356000</v>
      </c>
    </row>
    <row r="237" spans="1:16" ht="26.25" customHeight="1" x14ac:dyDescent="0.25">
      <c r="A237" s="14"/>
      <c r="B237" s="280">
        <v>2034</v>
      </c>
      <c r="C237" s="111">
        <f t="shared" si="35"/>
        <v>16</v>
      </c>
      <c r="D237" s="292"/>
      <c r="E237" s="110">
        <v>1500</v>
      </c>
      <c r="F237" s="283">
        <f t="shared" si="33"/>
        <v>1500</v>
      </c>
      <c r="G237" s="284">
        <f t="shared" si="30"/>
        <v>508.10189669489682</v>
      </c>
      <c r="H237" s="293"/>
      <c r="I237" s="107">
        <f t="shared" si="36"/>
        <v>3000</v>
      </c>
      <c r="J237" s="108">
        <f t="shared" si="34"/>
        <v>3000</v>
      </c>
      <c r="K237" s="108">
        <f t="shared" si="32"/>
        <v>1016.2037933897936</v>
      </c>
      <c r="L237" s="14"/>
      <c r="M237" s="288" t="s">
        <v>122</v>
      </c>
      <c r="N237" s="114">
        <v>200000</v>
      </c>
      <c r="O237" s="114"/>
      <c r="P237" s="116">
        <f>+N237</f>
        <v>200000</v>
      </c>
    </row>
    <row r="238" spans="1:16" ht="26.25" customHeight="1" thickBot="1" x14ac:dyDescent="0.3">
      <c r="A238" s="14"/>
      <c r="B238" s="280">
        <v>2035</v>
      </c>
      <c r="C238" s="111">
        <f t="shared" si="35"/>
        <v>17</v>
      </c>
      <c r="D238" s="292"/>
      <c r="E238" s="110">
        <v>1500</v>
      </c>
      <c r="F238" s="283">
        <f t="shared" si="33"/>
        <v>1500</v>
      </c>
      <c r="G238" s="284">
        <f t="shared" si="30"/>
        <v>474.86158569616521</v>
      </c>
      <c r="H238" s="293"/>
      <c r="I238" s="107">
        <f t="shared" si="36"/>
        <v>3000</v>
      </c>
      <c r="J238" s="108">
        <f t="shared" si="34"/>
        <v>3000</v>
      </c>
      <c r="K238" s="108">
        <f t="shared" si="32"/>
        <v>949.72317139233041</v>
      </c>
      <c r="L238" s="14"/>
      <c r="M238" s="118" t="s">
        <v>106</v>
      </c>
      <c r="N238" s="185">
        <v>50</v>
      </c>
      <c r="O238" s="185"/>
      <c r="P238" s="120">
        <f>ROUNDUP(+$P$232*N238,-3)</f>
        <v>889000</v>
      </c>
    </row>
    <row r="239" spans="1:16" ht="26.25" customHeight="1" x14ac:dyDescent="0.25">
      <c r="A239" s="14"/>
      <c r="B239" s="280">
        <v>2036</v>
      </c>
      <c r="C239" s="111">
        <f t="shared" si="35"/>
        <v>18</v>
      </c>
      <c r="D239" s="292"/>
      <c r="E239" s="110">
        <v>1500</v>
      </c>
      <c r="F239" s="283">
        <f t="shared" si="33"/>
        <v>1500</v>
      </c>
      <c r="G239" s="284">
        <f t="shared" si="30"/>
        <v>443.79587448239738</v>
      </c>
      <c r="H239" s="293"/>
      <c r="I239" s="107">
        <f t="shared" si="36"/>
        <v>3000</v>
      </c>
      <c r="J239" s="108">
        <f t="shared" si="34"/>
        <v>3000</v>
      </c>
      <c r="K239" s="108">
        <f t="shared" si="32"/>
        <v>887.59174896479476</v>
      </c>
      <c r="L239" s="14"/>
      <c r="M239" s="14"/>
      <c r="N239" s="14"/>
      <c r="O239" s="14"/>
      <c r="P239" s="14"/>
    </row>
    <row r="240" spans="1:16" ht="26.25" customHeight="1" x14ac:dyDescent="0.25">
      <c r="A240" s="14"/>
      <c r="B240" s="280">
        <v>2037</v>
      </c>
      <c r="C240" s="111">
        <f t="shared" si="35"/>
        <v>19</v>
      </c>
      <c r="D240" s="292"/>
      <c r="E240" s="110">
        <v>1500</v>
      </c>
      <c r="F240" s="283">
        <f t="shared" si="33"/>
        <v>1500</v>
      </c>
      <c r="G240" s="284">
        <f t="shared" si="30"/>
        <v>414.76249951625925</v>
      </c>
      <c r="H240" s="293"/>
      <c r="I240" s="107">
        <f t="shared" si="36"/>
        <v>3000</v>
      </c>
      <c r="J240" s="108">
        <f t="shared" si="34"/>
        <v>3000</v>
      </c>
      <c r="K240" s="108">
        <f t="shared" si="32"/>
        <v>829.52499903251851</v>
      </c>
      <c r="L240" s="14"/>
      <c r="M240" s="14"/>
      <c r="N240" s="14"/>
      <c r="O240" s="14"/>
      <c r="P240" s="14"/>
    </row>
    <row r="241" spans="1:16" ht="26.25" customHeight="1" thickBot="1" x14ac:dyDescent="0.35">
      <c r="A241" s="14"/>
      <c r="B241" s="280">
        <v>2038</v>
      </c>
      <c r="C241" s="111">
        <f t="shared" si="35"/>
        <v>20</v>
      </c>
      <c r="D241" s="292"/>
      <c r="E241" s="110">
        <v>1500</v>
      </c>
      <c r="F241" s="283">
        <f t="shared" si="33"/>
        <v>1500</v>
      </c>
      <c r="G241" s="284">
        <f t="shared" si="30"/>
        <v>387.62850422080305</v>
      </c>
      <c r="H241" s="293"/>
      <c r="I241" s="107">
        <f t="shared" si="36"/>
        <v>3000</v>
      </c>
      <c r="J241" s="108">
        <f t="shared" si="34"/>
        <v>3000</v>
      </c>
      <c r="K241" s="108">
        <f t="shared" si="32"/>
        <v>775.2570084416061</v>
      </c>
      <c r="L241" s="14"/>
      <c r="M241" s="183" t="s">
        <v>123</v>
      </c>
      <c r="N241" s="14"/>
      <c r="O241" s="14"/>
      <c r="P241" s="14"/>
    </row>
    <row r="242" spans="1:16" ht="26.25" customHeight="1" x14ac:dyDescent="0.25">
      <c r="A242" s="14"/>
      <c r="B242" s="280">
        <v>2039</v>
      </c>
      <c r="C242" s="111">
        <f t="shared" si="35"/>
        <v>21</v>
      </c>
      <c r="D242" s="292"/>
      <c r="E242" s="110">
        <v>1500</v>
      </c>
      <c r="F242" s="283">
        <f t="shared" si="33"/>
        <v>1500</v>
      </c>
      <c r="G242" s="284">
        <f t="shared" si="30"/>
        <v>362.26963011290002</v>
      </c>
      <c r="H242" s="296"/>
      <c r="I242" s="107">
        <f t="shared" si="36"/>
        <v>3000</v>
      </c>
      <c r="J242" s="108">
        <f t="shared" si="34"/>
        <v>3000</v>
      </c>
      <c r="K242" s="108">
        <f t="shared" si="32"/>
        <v>724.53926022580004</v>
      </c>
      <c r="L242" s="14"/>
      <c r="M242" s="244" t="s">
        <v>124</v>
      </c>
      <c r="N242" s="395"/>
      <c r="O242" s="395" t="s">
        <v>125</v>
      </c>
      <c r="P242" s="396"/>
    </row>
    <row r="243" spans="1:16" ht="26.25" customHeight="1" x14ac:dyDescent="0.25">
      <c r="A243" s="14"/>
      <c r="B243" s="280">
        <v>2040</v>
      </c>
      <c r="C243" s="111">
        <f t="shared" si="35"/>
        <v>22</v>
      </c>
      <c r="D243" s="292"/>
      <c r="E243" s="110">
        <v>1500</v>
      </c>
      <c r="F243" s="283">
        <f t="shared" si="33"/>
        <v>1500</v>
      </c>
      <c r="G243" s="284">
        <f t="shared" si="30"/>
        <v>338.56974776906543</v>
      </c>
      <c r="H243" s="290">
        <f>712000+324000</f>
        <v>1036000</v>
      </c>
      <c r="I243" s="107">
        <f t="shared" si="36"/>
        <v>3000</v>
      </c>
      <c r="J243" s="108">
        <f t="shared" si="34"/>
        <v>1039000</v>
      </c>
      <c r="K243" s="108">
        <f t="shared" si="32"/>
        <v>234515.97862137266</v>
      </c>
      <c r="L243" s="14"/>
      <c r="M243" s="288"/>
      <c r="N243" s="14"/>
      <c r="O243" s="14"/>
      <c r="P243" s="112"/>
    </row>
    <row r="244" spans="1:16" ht="26.25" customHeight="1" x14ac:dyDescent="0.25">
      <c r="A244" s="14"/>
      <c r="B244" s="280">
        <v>2041</v>
      </c>
      <c r="C244" s="111">
        <f t="shared" si="35"/>
        <v>23</v>
      </c>
      <c r="D244" s="292"/>
      <c r="E244" s="110">
        <v>1500</v>
      </c>
      <c r="F244" s="283">
        <f t="shared" si="33"/>
        <v>1500</v>
      </c>
      <c r="G244" s="284">
        <f t="shared" si="30"/>
        <v>316.42032501781819</v>
      </c>
      <c r="H244" s="290"/>
      <c r="I244" s="107">
        <f t="shared" si="36"/>
        <v>3000</v>
      </c>
      <c r="J244" s="108">
        <f t="shared" si="34"/>
        <v>3000</v>
      </c>
      <c r="K244" s="108">
        <f t="shared" si="32"/>
        <v>632.84065003563637</v>
      </c>
      <c r="L244" s="14"/>
      <c r="M244" s="408" t="s">
        <v>126</v>
      </c>
      <c r="N244" s="409" t="s">
        <v>88</v>
      </c>
      <c r="O244" s="409" t="s">
        <v>127</v>
      </c>
      <c r="P244" s="410" t="s">
        <v>90</v>
      </c>
    </row>
    <row r="245" spans="1:16" ht="26.25" customHeight="1" x14ac:dyDescent="0.25">
      <c r="A245" s="14"/>
      <c r="B245" s="280">
        <v>2042</v>
      </c>
      <c r="C245" s="111">
        <f t="shared" si="35"/>
        <v>24</v>
      </c>
      <c r="D245" s="292"/>
      <c r="E245" s="110">
        <v>1500</v>
      </c>
      <c r="F245" s="283">
        <f t="shared" si="33"/>
        <v>1500</v>
      </c>
      <c r="G245" s="284">
        <f t="shared" si="30"/>
        <v>295.71992992319451</v>
      </c>
      <c r="H245" s="293"/>
      <c r="I245" s="107">
        <f t="shared" si="36"/>
        <v>3000</v>
      </c>
      <c r="J245" s="108">
        <f t="shared" si="34"/>
        <v>3000</v>
      </c>
      <c r="K245" s="108">
        <f t="shared" si="32"/>
        <v>591.43985984638903</v>
      </c>
      <c r="L245" s="14"/>
      <c r="M245" s="288" t="s">
        <v>128</v>
      </c>
      <c r="N245" s="14">
        <f>4200-350</f>
        <v>3850</v>
      </c>
      <c r="O245" s="14">
        <f>15*2</f>
        <v>30</v>
      </c>
      <c r="P245" s="184">
        <f>+O245*N245</f>
        <v>115500</v>
      </c>
    </row>
    <row r="246" spans="1:16" ht="26.25" customHeight="1" x14ac:dyDescent="0.25">
      <c r="A246" s="14"/>
      <c r="B246" s="280">
        <v>2043</v>
      </c>
      <c r="C246" s="111">
        <f t="shared" si="35"/>
        <v>25</v>
      </c>
      <c r="D246" s="292"/>
      <c r="E246" s="110">
        <v>1500</v>
      </c>
      <c r="F246" s="283">
        <f t="shared" si="33"/>
        <v>1500</v>
      </c>
      <c r="G246" s="284">
        <f t="shared" si="30"/>
        <v>276.37376628335937</v>
      </c>
      <c r="H246" s="293"/>
      <c r="I246" s="107">
        <f t="shared" si="36"/>
        <v>3000</v>
      </c>
      <c r="J246" s="108">
        <f t="shared" si="34"/>
        <v>3000</v>
      </c>
      <c r="K246" s="108">
        <f t="shared" si="32"/>
        <v>552.74753256671875</v>
      </c>
      <c r="L246" s="14"/>
      <c r="M246" s="288" t="s">
        <v>129</v>
      </c>
      <c r="N246" s="14">
        <f>0.6*0.15*5280</f>
        <v>475.2</v>
      </c>
      <c r="O246" s="14">
        <f>13.5*2</f>
        <v>27</v>
      </c>
      <c r="P246" s="184">
        <f t="shared" ref="P246:P247" si="37">+O246*N246</f>
        <v>12830.4</v>
      </c>
    </row>
    <row r="247" spans="1:16" ht="26.25" customHeight="1" x14ac:dyDescent="0.25">
      <c r="A247" s="14"/>
      <c r="B247" s="280">
        <v>2044</v>
      </c>
      <c r="C247" s="111">
        <f t="shared" si="35"/>
        <v>26</v>
      </c>
      <c r="D247" s="292"/>
      <c r="E247" s="110">
        <v>1500</v>
      </c>
      <c r="F247" s="283">
        <f t="shared" si="33"/>
        <v>1500</v>
      </c>
      <c r="G247" s="284">
        <f t="shared" si="30"/>
        <v>258.29323951715833</v>
      </c>
      <c r="H247" s="293"/>
      <c r="I247" s="107">
        <f t="shared" si="36"/>
        <v>3000</v>
      </c>
      <c r="J247" s="108">
        <f t="shared" si="34"/>
        <v>3000</v>
      </c>
      <c r="K247" s="108">
        <f t="shared" si="32"/>
        <v>516.58647903431665</v>
      </c>
      <c r="L247" s="14"/>
      <c r="M247" s="411" t="s">
        <v>130</v>
      </c>
      <c r="N247" s="412">
        <f>0.15*5280+0.15*0.25*5280</f>
        <v>990</v>
      </c>
      <c r="O247" s="412">
        <f>18*2</f>
        <v>36</v>
      </c>
      <c r="P247" s="413">
        <f t="shared" si="37"/>
        <v>35640</v>
      </c>
    </row>
    <row r="248" spans="1:16" ht="26.25" customHeight="1" x14ac:dyDescent="0.25">
      <c r="A248" s="14"/>
      <c r="B248" s="280">
        <v>2045</v>
      </c>
      <c r="C248" s="111">
        <f t="shared" si="35"/>
        <v>27</v>
      </c>
      <c r="D248" s="297"/>
      <c r="E248" s="110">
        <v>1500</v>
      </c>
      <c r="F248" s="283">
        <f t="shared" si="33"/>
        <v>1500</v>
      </c>
      <c r="G248" s="284">
        <f t="shared" si="30"/>
        <v>241.39555095061519</v>
      </c>
      <c r="H248" s="293"/>
      <c r="I248" s="107">
        <f t="shared" si="36"/>
        <v>3000</v>
      </c>
      <c r="J248" s="108">
        <f t="shared" si="34"/>
        <v>3000</v>
      </c>
      <c r="K248" s="108">
        <f t="shared" si="32"/>
        <v>482.79110190123038</v>
      </c>
      <c r="L248" s="14"/>
      <c r="M248" s="299"/>
      <c r="N248" s="14"/>
      <c r="O248" s="117" t="s">
        <v>131</v>
      </c>
      <c r="P248" s="184">
        <f>SUM(P245:P247)*1.05</f>
        <v>172168.92</v>
      </c>
    </row>
    <row r="249" spans="1:16" ht="26.25" customHeight="1" x14ac:dyDescent="0.25">
      <c r="A249" s="14"/>
      <c r="B249" s="280">
        <v>2046</v>
      </c>
      <c r="C249" s="111">
        <f t="shared" si="35"/>
        <v>28</v>
      </c>
      <c r="D249" s="292"/>
      <c r="E249" s="110">
        <v>1500</v>
      </c>
      <c r="F249" s="283">
        <f t="shared" si="33"/>
        <v>1500</v>
      </c>
      <c r="G249" s="284">
        <f t="shared" si="30"/>
        <v>225.6033186454348</v>
      </c>
      <c r="H249" s="293"/>
      <c r="I249" s="107">
        <f t="shared" si="36"/>
        <v>3000</v>
      </c>
      <c r="J249" s="108">
        <f t="shared" si="34"/>
        <v>3000</v>
      </c>
      <c r="K249" s="108">
        <f t="shared" si="32"/>
        <v>451.20663729086959</v>
      </c>
      <c r="L249" s="14"/>
      <c r="M249" s="288" t="s">
        <v>132</v>
      </c>
      <c r="N249" s="14"/>
      <c r="O249" s="14"/>
      <c r="P249" s="180">
        <v>1.88</v>
      </c>
    </row>
    <row r="250" spans="1:16" ht="26.25" customHeight="1" thickBot="1" x14ac:dyDescent="0.3">
      <c r="A250" s="14"/>
      <c r="B250" s="280">
        <v>2047</v>
      </c>
      <c r="C250" s="111">
        <f t="shared" si="35"/>
        <v>29</v>
      </c>
      <c r="D250" s="292"/>
      <c r="E250" s="110">
        <v>1500</v>
      </c>
      <c r="F250" s="283">
        <f t="shared" si="33"/>
        <v>1500</v>
      </c>
      <c r="G250" s="284">
        <f t="shared" si="30"/>
        <v>210.84422303311663</v>
      </c>
      <c r="H250" s="293">
        <v>324000</v>
      </c>
      <c r="I250" s="107">
        <f t="shared" si="36"/>
        <v>3000</v>
      </c>
      <c r="J250" s="108">
        <f t="shared" si="34"/>
        <v>327000</v>
      </c>
      <c r="K250" s="108">
        <f t="shared" si="32"/>
        <v>45964.040621219428</v>
      </c>
      <c r="L250" s="14"/>
      <c r="M250" s="118" t="s">
        <v>133</v>
      </c>
      <c r="N250" s="119"/>
      <c r="O250" s="119"/>
      <c r="P250" s="120">
        <f>ROUNDUP(+P248*P249,-3)</f>
        <v>324000</v>
      </c>
    </row>
    <row r="251" spans="1:16" ht="26.25" customHeight="1" x14ac:dyDescent="0.25">
      <c r="A251" s="14"/>
      <c r="B251" s="280">
        <v>2048</v>
      </c>
      <c r="C251" s="111">
        <f t="shared" si="35"/>
        <v>30</v>
      </c>
      <c r="D251" s="292"/>
      <c r="E251" s="110">
        <v>1500</v>
      </c>
      <c r="F251" s="283">
        <f t="shared" si="33"/>
        <v>1500</v>
      </c>
      <c r="G251" s="284">
        <f t="shared" si="30"/>
        <v>197.05067573188472</v>
      </c>
      <c r="H251" s="293"/>
      <c r="I251" s="107">
        <f t="shared" si="36"/>
        <v>3000</v>
      </c>
      <c r="J251" s="108">
        <f t="shared" si="34"/>
        <v>3000</v>
      </c>
      <c r="K251" s="108">
        <f t="shared" si="32"/>
        <v>394.10135146376945</v>
      </c>
      <c r="L251" s="14"/>
      <c r="M251" s="14"/>
      <c r="N251" s="14"/>
      <c r="O251" s="14"/>
      <c r="P251" s="14"/>
    </row>
    <row r="252" spans="1:16" ht="26.25" customHeight="1" x14ac:dyDescent="0.25">
      <c r="A252" s="14"/>
      <c r="B252" s="397">
        <v>2049</v>
      </c>
      <c r="C252" s="398">
        <f t="shared" si="35"/>
        <v>31</v>
      </c>
      <c r="D252" s="169"/>
      <c r="E252" s="407">
        <v>1500</v>
      </c>
      <c r="F252" s="400">
        <f t="shared" si="33"/>
        <v>1500</v>
      </c>
      <c r="G252" s="401">
        <f t="shared" si="30"/>
        <v>184.15951002979875</v>
      </c>
      <c r="H252" s="170">
        <v>356000</v>
      </c>
      <c r="I252" s="402">
        <f t="shared" si="36"/>
        <v>3000</v>
      </c>
      <c r="J252" s="403">
        <f t="shared" si="34"/>
        <v>359000</v>
      </c>
      <c r="K252" s="403">
        <f t="shared" si="32"/>
        <v>44075.509400465169</v>
      </c>
      <c r="L252" s="14"/>
      <c r="M252" s="14"/>
      <c r="N252" s="14"/>
      <c r="O252" s="14"/>
      <c r="P252" s="14"/>
    </row>
    <row r="253" spans="1:16" ht="26.25" customHeight="1" x14ac:dyDescent="0.25">
      <c r="A253" s="14"/>
      <c r="B253" s="125"/>
      <c r="C253" s="404"/>
      <c r="D253" s="111"/>
      <c r="E253" s="113"/>
      <c r="F253" s="126"/>
      <c r="G253" s="127"/>
      <c r="H253" s="113"/>
      <c r="I253" s="113"/>
      <c r="J253" s="127"/>
      <c r="K253" s="127"/>
      <c r="L253" s="14"/>
      <c r="M253" s="14"/>
      <c r="N253" s="14"/>
      <c r="O253" s="14"/>
      <c r="P253" s="14"/>
    </row>
    <row r="254" spans="1:16" ht="26.25" customHeight="1" thickBot="1" x14ac:dyDescent="0.3">
      <c r="A254" s="14"/>
      <c r="B254" s="125"/>
      <c r="C254" s="128"/>
      <c r="D254" s="128"/>
      <c r="E254" s="129"/>
      <c r="F254" s="126"/>
      <c r="G254" s="127"/>
      <c r="H254" s="130"/>
      <c r="I254" s="113"/>
      <c r="J254" s="127"/>
      <c r="K254" s="127"/>
      <c r="L254" s="14"/>
      <c r="M254" s="14"/>
      <c r="N254" s="14"/>
      <c r="O254" s="14"/>
      <c r="P254" s="14"/>
    </row>
    <row r="255" spans="1:16" ht="60" customHeight="1" x14ac:dyDescent="0.25">
      <c r="A255" s="14"/>
      <c r="B255" s="131"/>
      <c r="C255" s="128"/>
      <c r="D255" s="128"/>
      <c r="E255" s="132"/>
      <c r="F255" s="127"/>
      <c r="G255" s="133" t="s">
        <v>70</v>
      </c>
      <c r="H255" s="134"/>
      <c r="I255" s="113"/>
      <c r="J255" s="127"/>
      <c r="K255" s="135" t="s">
        <v>71</v>
      </c>
      <c r="L255" s="127"/>
      <c r="M255" s="14"/>
      <c r="N255" s="14"/>
      <c r="O255" s="14"/>
      <c r="P255" s="14"/>
    </row>
    <row r="256" spans="1:16" ht="26.25" customHeight="1" x14ac:dyDescent="0.25">
      <c r="A256" s="14"/>
      <c r="B256" s="131"/>
      <c r="C256" s="131"/>
      <c r="D256" s="131"/>
      <c r="E256" s="14"/>
      <c r="F256" s="131"/>
      <c r="G256" s="245" t="s">
        <v>72</v>
      </c>
      <c r="H256" s="131"/>
      <c r="I256" s="131"/>
      <c r="J256" s="14"/>
      <c r="K256" s="246" t="s">
        <v>72</v>
      </c>
      <c r="L256" s="14"/>
      <c r="M256" s="14"/>
      <c r="N256" s="14"/>
      <c r="O256" s="14"/>
      <c r="P256" s="14"/>
    </row>
    <row r="257" spans="1:18" ht="26.25" customHeight="1" thickBot="1" x14ac:dyDescent="0.3">
      <c r="A257" s="14"/>
      <c r="B257" s="131"/>
      <c r="C257" s="136"/>
      <c r="D257" s="136"/>
      <c r="E257" s="137"/>
      <c r="F257" s="136"/>
      <c r="G257" s="138">
        <f>SUM(G221:G252)</f>
        <v>810522.83780001616</v>
      </c>
      <c r="H257" s="131"/>
      <c r="I257" s="131"/>
      <c r="J257" s="14"/>
      <c r="K257" s="139">
        <f>SUM(K221:K252)</f>
        <v>602807.40563997743</v>
      </c>
      <c r="L257" s="14"/>
      <c r="M257" s="14"/>
      <c r="N257" s="14"/>
      <c r="O257" s="14"/>
      <c r="P257" s="14"/>
    </row>
    <row r="258" spans="1:18" ht="26.25" customHeight="1" thickBot="1" x14ac:dyDescent="0.3">
      <c r="A258" s="14"/>
      <c r="B258" s="140" t="s">
        <v>73</v>
      </c>
      <c r="C258" s="136"/>
      <c r="D258" s="136"/>
      <c r="E258" s="131"/>
      <c r="F258" s="136"/>
      <c r="G258" s="141"/>
      <c r="H258" s="131"/>
      <c r="I258" s="131"/>
      <c r="J258" s="131"/>
      <c r="K258" s="137"/>
      <c r="L258" s="14"/>
      <c r="M258" s="14"/>
      <c r="N258" s="14"/>
      <c r="O258" s="14"/>
      <c r="P258" s="14"/>
    </row>
    <row r="259" spans="1:18" ht="45" customHeight="1" x14ac:dyDescent="0.25">
      <c r="A259" s="14"/>
      <c r="B259" s="142" t="s">
        <v>74</v>
      </c>
      <c r="C259" s="143"/>
      <c r="D259" s="144">
        <v>7.0000000000000007E-2</v>
      </c>
      <c r="E259" s="14"/>
      <c r="F259" s="14"/>
      <c r="G259" s="14"/>
      <c r="H259" s="131"/>
      <c r="I259" s="171" t="s">
        <v>75</v>
      </c>
      <c r="J259" s="137"/>
      <c r="K259" s="14"/>
      <c r="L259" s="137"/>
      <c r="M259" s="14"/>
      <c r="N259" s="14"/>
      <c r="O259" s="14"/>
      <c r="P259" s="142"/>
    </row>
    <row r="260" spans="1:18" ht="26.25" customHeight="1" thickBot="1" x14ac:dyDescent="0.3">
      <c r="A260" s="14"/>
      <c r="B260" s="145"/>
      <c r="C260" s="146"/>
      <c r="D260" s="14"/>
      <c r="E260" s="14"/>
      <c r="F260" s="131"/>
      <c r="G260" s="147"/>
      <c r="H260" s="147"/>
      <c r="I260" s="172">
        <f>G257/K257</f>
        <v>1.3445800934371654</v>
      </c>
      <c r="J260" s="14"/>
      <c r="K260" s="14"/>
      <c r="L260" s="14"/>
      <c r="M260" s="14"/>
      <c r="N260" s="14"/>
      <c r="O260" s="14"/>
      <c r="P260" s="142"/>
    </row>
    <row r="261" spans="1:18" ht="15.6" x14ac:dyDescent="0.25">
      <c r="A261" s="14"/>
      <c r="B261" s="14"/>
      <c r="C261" s="137"/>
      <c r="D261" s="137"/>
      <c r="E261" s="142"/>
      <c r="F261" s="142"/>
      <c r="G261" s="142"/>
      <c r="H261" s="137"/>
      <c r="I261" s="142"/>
      <c r="J261" s="142"/>
      <c r="K261" s="14"/>
      <c r="L261" s="14"/>
      <c r="M261" s="14"/>
      <c r="N261" s="14"/>
      <c r="O261" s="14"/>
      <c r="P261" s="14"/>
    </row>
    <row r="262" spans="1:18" ht="18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</row>
    <row r="264" spans="1:18" ht="48" customHeight="1" x14ac:dyDescent="0.4">
      <c r="B264" s="187" t="s">
        <v>134</v>
      </c>
      <c r="C264" s="187"/>
      <c r="D264" s="187"/>
      <c r="E264" s="187"/>
    </row>
    <row r="265" spans="1:18" ht="43.5" customHeight="1" x14ac:dyDescent="0.4">
      <c r="B265" s="187" t="s">
        <v>42</v>
      </c>
      <c r="C265" s="187"/>
      <c r="D265" s="187"/>
      <c r="E265" s="187"/>
      <c r="F265" s="187"/>
    </row>
    <row r="266" spans="1:18" ht="21" x14ac:dyDescent="0.4">
      <c r="B266" s="45" t="s">
        <v>43</v>
      </c>
      <c r="C266" s="45"/>
      <c r="D266" s="45"/>
      <c r="E266" s="46"/>
      <c r="G266" s="47"/>
    </row>
    <row r="267" spans="1:18" ht="21" x14ac:dyDescent="0.4">
      <c r="B267" s="45" t="s">
        <v>135</v>
      </c>
      <c r="C267" s="45"/>
      <c r="D267" s="45"/>
      <c r="E267" s="48"/>
      <c r="G267" s="47"/>
      <c r="H267" s="39"/>
    </row>
    <row r="268" spans="1:18" ht="43.5" customHeight="1" x14ac:dyDescent="0.35">
      <c r="B268" s="544" t="s">
        <v>136</v>
      </c>
      <c r="C268" s="544"/>
      <c r="D268" s="544"/>
      <c r="E268" s="544"/>
      <c r="F268" s="544"/>
      <c r="G268" s="544"/>
      <c r="H268" s="544"/>
      <c r="I268" s="544"/>
      <c r="J268" s="544"/>
      <c r="K268" s="544"/>
    </row>
    <row r="269" spans="1:18" ht="30.75" customHeight="1" x14ac:dyDescent="0.25">
      <c r="B269" s="544" t="s">
        <v>137</v>
      </c>
      <c r="C269" s="544"/>
      <c r="D269" s="544"/>
      <c r="E269" s="544"/>
      <c r="F269" s="544"/>
      <c r="G269" s="544"/>
      <c r="H269" s="544"/>
      <c r="I269" s="544"/>
      <c r="J269" s="544"/>
      <c r="K269" s="544"/>
    </row>
    <row r="270" spans="1:18" ht="30.75" customHeight="1" thickBot="1" x14ac:dyDescent="0.3">
      <c r="B270" s="544"/>
      <c r="C270" s="544"/>
      <c r="D270" s="544"/>
      <c r="E270" s="544"/>
      <c r="F270" s="544"/>
      <c r="G270" s="544"/>
      <c r="H270" s="544"/>
      <c r="I270" s="544"/>
      <c r="J270" s="544"/>
      <c r="K270" s="544"/>
    </row>
    <row r="271" spans="1:18" ht="41.25" customHeight="1" x14ac:dyDescent="0.25">
      <c r="B271" s="55"/>
      <c r="C271" s="55"/>
      <c r="D271" s="545" t="s">
        <v>47</v>
      </c>
      <c r="E271" s="546"/>
      <c r="F271" s="546"/>
      <c r="G271" s="547"/>
      <c r="H271" s="548" t="s">
        <v>48</v>
      </c>
      <c r="I271" s="549"/>
      <c r="J271" s="549"/>
      <c r="K271" s="550"/>
    </row>
    <row r="272" spans="1:18" ht="59.25" customHeight="1" x14ac:dyDescent="0.25">
      <c r="B272" s="363" t="s">
        <v>30</v>
      </c>
      <c r="C272" s="364" t="s">
        <v>49</v>
      </c>
      <c r="D272" s="365" t="s">
        <v>50</v>
      </c>
      <c r="E272" s="366" t="s">
        <v>51</v>
      </c>
      <c r="F272" s="367" t="s">
        <v>52</v>
      </c>
      <c r="G272" s="368" t="s">
        <v>53</v>
      </c>
      <c r="H272" s="369" t="s">
        <v>50</v>
      </c>
      <c r="I272" s="370" t="s">
        <v>54</v>
      </c>
      <c r="J272" s="371" t="s">
        <v>55</v>
      </c>
      <c r="K272" s="239" t="s">
        <v>56</v>
      </c>
      <c r="M272" s="44" t="s">
        <v>138</v>
      </c>
    </row>
    <row r="273" spans="2:18" ht="30.75" customHeight="1" x14ac:dyDescent="0.25">
      <c r="B273" s="372">
        <v>2018</v>
      </c>
      <c r="C273" s="373">
        <v>0</v>
      </c>
      <c r="D273" s="270"/>
      <c r="E273" s="56"/>
      <c r="F273" s="374">
        <f>SUM(D273:E273)</f>
        <v>0</v>
      </c>
      <c r="G273" s="375">
        <f t="shared" ref="G273:G304" si="38">(F273/(1+0.07)^$C273)</f>
        <v>0</v>
      </c>
      <c r="H273" s="271"/>
      <c r="I273" s="57"/>
      <c r="J273" s="58">
        <f t="shared" ref="J273:J274" si="39">SUM(H273:I273)</f>
        <v>0</v>
      </c>
      <c r="K273" s="59">
        <f t="shared" ref="K273:K304" si="40">J273/(1+0.07)^$C273</f>
        <v>0</v>
      </c>
      <c r="M273" s="44" t="s">
        <v>111</v>
      </c>
    </row>
    <row r="274" spans="2:18" ht="30.75" customHeight="1" x14ac:dyDescent="0.25">
      <c r="B274" s="372">
        <v>2019</v>
      </c>
      <c r="C274" s="373">
        <v>1</v>
      </c>
      <c r="D274" s="270"/>
      <c r="E274" s="56"/>
      <c r="F274" s="374">
        <f t="shared" ref="F274:F304" si="41">SUM(D274:E274)</f>
        <v>0</v>
      </c>
      <c r="G274" s="375">
        <f t="shared" si="38"/>
        <v>0</v>
      </c>
      <c r="H274" s="271"/>
      <c r="I274" s="57"/>
      <c r="J274" s="58">
        <f t="shared" si="39"/>
        <v>0</v>
      </c>
      <c r="K274" s="59">
        <f t="shared" si="40"/>
        <v>0</v>
      </c>
      <c r="M274" s="44" t="s">
        <v>139</v>
      </c>
    </row>
    <row r="275" spans="2:18" ht="30.75" customHeight="1" x14ac:dyDescent="0.25">
      <c r="B275" s="372">
        <v>2020</v>
      </c>
      <c r="C275" s="373">
        <v>2</v>
      </c>
      <c r="D275" s="300">
        <f>290000+200000</f>
        <v>490000</v>
      </c>
      <c r="E275" s="56">
        <v>10000</v>
      </c>
      <c r="F275" s="374">
        <f t="shared" si="41"/>
        <v>500000</v>
      </c>
      <c r="G275" s="375">
        <f t="shared" si="38"/>
        <v>436719.36413660581</v>
      </c>
      <c r="H275" s="271"/>
      <c r="I275" s="56">
        <v>10000</v>
      </c>
      <c r="J275" s="58">
        <f t="shared" ref="J275:J304" si="42">SUM(H275:I275)</f>
        <v>10000</v>
      </c>
      <c r="K275" s="59">
        <f t="shared" si="40"/>
        <v>8734.3872827321156</v>
      </c>
    </row>
    <row r="276" spans="2:18" ht="30.75" customHeight="1" x14ac:dyDescent="0.25">
      <c r="B276" s="372">
        <v>2021</v>
      </c>
      <c r="C276" s="373">
        <f>1+C275</f>
        <v>3</v>
      </c>
      <c r="D276" s="272"/>
      <c r="E276" s="56">
        <v>10000</v>
      </c>
      <c r="F276" s="374">
        <f t="shared" si="41"/>
        <v>10000</v>
      </c>
      <c r="G276" s="375">
        <f t="shared" si="38"/>
        <v>8162.9787689085197</v>
      </c>
      <c r="H276" s="271"/>
      <c r="I276" s="56">
        <v>10000</v>
      </c>
      <c r="J276" s="58">
        <f t="shared" si="42"/>
        <v>10000</v>
      </c>
      <c r="K276" s="59">
        <f t="shared" si="40"/>
        <v>8162.9787689085197</v>
      </c>
    </row>
    <row r="277" spans="2:18" ht="30.75" customHeight="1" x14ac:dyDescent="0.25">
      <c r="B277" s="372">
        <v>2022</v>
      </c>
      <c r="C277" s="373">
        <f t="shared" ref="C277:C304" si="43">C276+1</f>
        <v>4</v>
      </c>
      <c r="D277" s="270"/>
      <c r="E277" s="56">
        <f t="shared" ref="E277:E279" si="44">E276</f>
        <v>10000</v>
      </c>
      <c r="F277" s="374">
        <f t="shared" si="41"/>
        <v>10000</v>
      </c>
      <c r="G277" s="375">
        <f t="shared" si="38"/>
        <v>7628.9521204752518</v>
      </c>
      <c r="H277" s="271"/>
      <c r="I277" s="56">
        <v>10000</v>
      </c>
      <c r="J277" s="58">
        <f t="shared" si="42"/>
        <v>10000</v>
      </c>
      <c r="K277" s="59">
        <f t="shared" si="40"/>
        <v>7628.9521204752518</v>
      </c>
    </row>
    <row r="278" spans="2:18" ht="30.75" customHeight="1" x14ac:dyDescent="0.25">
      <c r="B278" s="372">
        <v>2023</v>
      </c>
      <c r="C278" s="373">
        <f t="shared" si="43"/>
        <v>5</v>
      </c>
      <c r="D278" s="270"/>
      <c r="E278" s="56">
        <f t="shared" si="44"/>
        <v>10000</v>
      </c>
      <c r="F278" s="374">
        <f t="shared" si="41"/>
        <v>10000</v>
      </c>
      <c r="G278" s="375">
        <f t="shared" si="38"/>
        <v>7129.8617948366837</v>
      </c>
      <c r="H278" s="271"/>
      <c r="I278" s="57"/>
      <c r="J278" s="58">
        <f t="shared" si="42"/>
        <v>0</v>
      </c>
      <c r="K278" s="59">
        <f t="shared" si="40"/>
        <v>0</v>
      </c>
    </row>
    <row r="279" spans="2:18" ht="30.75" customHeight="1" thickBot="1" x14ac:dyDescent="0.3">
      <c r="B279" s="372">
        <v>2024</v>
      </c>
      <c r="C279" s="373">
        <f t="shared" si="43"/>
        <v>6</v>
      </c>
      <c r="D279" s="270"/>
      <c r="E279" s="56">
        <f t="shared" si="44"/>
        <v>10000</v>
      </c>
      <c r="F279" s="374">
        <f t="shared" si="41"/>
        <v>10000</v>
      </c>
      <c r="G279" s="375">
        <f t="shared" si="38"/>
        <v>6663.4222381651252</v>
      </c>
      <c r="H279" s="271"/>
      <c r="I279" s="57"/>
      <c r="J279" s="58">
        <f t="shared" si="42"/>
        <v>0</v>
      </c>
      <c r="K279" s="59">
        <f t="shared" si="40"/>
        <v>0</v>
      </c>
    </row>
    <row r="280" spans="2:18" ht="30.75" customHeight="1" x14ac:dyDescent="0.25">
      <c r="B280" s="372">
        <v>2025</v>
      </c>
      <c r="C280" s="373">
        <f t="shared" si="43"/>
        <v>7</v>
      </c>
      <c r="D280" s="270" t="s">
        <v>60</v>
      </c>
      <c r="E280" s="56">
        <v>10000</v>
      </c>
      <c r="F280" s="374">
        <f t="shared" si="41"/>
        <v>10000</v>
      </c>
      <c r="G280" s="375">
        <f t="shared" si="38"/>
        <v>6227.4974188459109</v>
      </c>
      <c r="H280" s="271"/>
      <c r="I280" s="57">
        <v>1500</v>
      </c>
      <c r="J280" s="58">
        <f t="shared" si="42"/>
        <v>1500</v>
      </c>
      <c r="K280" s="59">
        <f t="shared" si="40"/>
        <v>934.12461282688662</v>
      </c>
      <c r="M280" s="240" t="s">
        <v>140</v>
      </c>
      <c r="N280" s="376"/>
      <c r="O280" s="376"/>
      <c r="P280" s="377"/>
    </row>
    <row r="281" spans="2:18" ht="30.75" customHeight="1" x14ac:dyDescent="0.25">
      <c r="B281" s="372">
        <v>2026</v>
      </c>
      <c r="C281" s="60">
        <f t="shared" si="43"/>
        <v>8</v>
      </c>
      <c r="D281" s="270"/>
      <c r="E281" s="56">
        <v>1000</v>
      </c>
      <c r="F281" s="374">
        <f t="shared" si="41"/>
        <v>1000</v>
      </c>
      <c r="G281" s="375">
        <f t="shared" si="38"/>
        <v>582.00910456503846</v>
      </c>
      <c r="H281" s="271"/>
      <c r="I281" s="57">
        <v>1500</v>
      </c>
      <c r="J281" s="58">
        <f t="shared" si="42"/>
        <v>1500</v>
      </c>
      <c r="K281" s="59">
        <f t="shared" si="40"/>
        <v>873.01365684755763</v>
      </c>
      <c r="M281" s="273" t="s">
        <v>61</v>
      </c>
      <c r="N281" s="44">
        <v>2040</v>
      </c>
      <c r="P281" s="93"/>
    </row>
    <row r="282" spans="2:18" ht="30.75" customHeight="1" x14ac:dyDescent="0.25">
      <c r="B282" s="372">
        <v>2027</v>
      </c>
      <c r="C282" s="60">
        <f t="shared" si="43"/>
        <v>9</v>
      </c>
      <c r="D282" s="270"/>
      <c r="E282" s="56">
        <v>1000</v>
      </c>
      <c r="F282" s="374">
        <f t="shared" si="41"/>
        <v>1000</v>
      </c>
      <c r="G282" s="375">
        <f t="shared" si="38"/>
        <v>543.93374258414804</v>
      </c>
      <c r="H282" s="271"/>
      <c r="I282" s="57">
        <v>1500</v>
      </c>
      <c r="J282" s="58">
        <f t="shared" si="42"/>
        <v>1500</v>
      </c>
      <c r="K282" s="59">
        <f t="shared" si="40"/>
        <v>815.900613876222</v>
      </c>
      <c r="M282" s="273" t="s">
        <v>62</v>
      </c>
      <c r="N282" s="44">
        <v>2033</v>
      </c>
      <c r="O282" s="44">
        <v>2049</v>
      </c>
      <c r="P282" s="93"/>
    </row>
    <row r="283" spans="2:18" ht="30.75" customHeight="1" x14ac:dyDescent="0.25">
      <c r="B283" s="372">
        <v>2028</v>
      </c>
      <c r="C283" s="60">
        <f t="shared" si="43"/>
        <v>10</v>
      </c>
      <c r="D283" s="270"/>
      <c r="E283" s="56">
        <v>1000</v>
      </c>
      <c r="F283" s="374">
        <f t="shared" si="41"/>
        <v>1000</v>
      </c>
      <c r="G283" s="375">
        <f t="shared" si="38"/>
        <v>508.34929213471781</v>
      </c>
      <c r="H283" s="271"/>
      <c r="I283" s="57">
        <v>1500</v>
      </c>
      <c r="J283" s="58">
        <f t="shared" si="42"/>
        <v>1500</v>
      </c>
      <c r="K283" s="59">
        <f t="shared" si="40"/>
        <v>762.52393820207669</v>
      </c>
      <c r="M283" s="273" t="s">
        <v>141</v>
      </c>
      <c r="P283" s="93"/>
    </row>
    <row r="284" spans="2:18" ht="30.75" customHeight="1" x14ac:dyDescent="0.25">
      <c r="B284" s="372">
        <v>2029</v>
      </c>
      <c r="C284" s="60">
        <f t="shared" si="43"/>
        <v>11</v>
      </c>
      <c r="D284" s="270"/>
      <c r="E284" s="56">
        <v>1000</v>
      </c>
      <c r="F284" s="374">
        <f t="shared" si="41"/>
        <v>1000</v>
      </c>
      <c r="G284" s="375">
        <f t="shared" si="38"/>
        <v>475.09279638758665</v>
      </c>
      <c r="H284" s="271"/>
      <c r="I284" s="57">
        <v>1500</v>
      </c>
      <c r="J284" s="58">
        <f t="shared" si="42"/>
        <v>1500</v>
      </c>
      <c r="K284" s="58">
        <f t="shared" si="40"/>
        <v>712.63919458138002</v>
      </c>
      <c r="M284" s="273" t="s">
        <v>106</v>
      </c>
      <c r="O284" s="94"/>
      <c r="P284" s="95"/>
      <c r="R284" s="188"/>
    </row>
    <row r="285" spans="2:18" ht="30.75" customHeight="1" x14ac:dyDescent="0.3">
      <c r="B285" s="372">
        <v>2030</v>
      </c>
      <c r="C285" s="60">
        <f t="shared" si="43"/>
        <v>12</v>
      </c>
      <c r="D285" s="270"/>
      <c r="E285" s="56">
        <v>1000</v>
      </c>
      <c r="F285" s="374">
        <f t="shared" si="41"/>
        <v>1000</v>
      </c>
      <c r="G285" s="375">
        <f t="shared" si="38"/>
        <v>444.01195924073528</v>
      </c>
      <c r="H285" s="271"/>
      <c r="I285" s="57">
        <v>1500</v>
      </c>
      <c r="J285" s="58">
        <f t="shared" si="42"/>
        <v>1500</v>
      </c>
      <c r="K285" s="58">
        <f t="shared" si="40"/>
        <v>666.01793886110295</v>
      </c>
      <c r="M285" s="274"/>
      <c r="N285" s="39"/>
      <c r="O285" s="39"/>
      <c r="P285" s="96"/>
    </row>
    <row r="286" spans="2:18" ht="30.75" customHeight="1" x14ac:dyDescent="0.3">
      <c r="B286" s="372">
        <v>2031</v>
      </c>
      <c r="C286" s="60">
        <f t="shared" si="43"/>
        <v>13</v>
      </c>
      <c r="D286" s="270"/>
      <c r="E286" s="56">
        <v>1000</v>
      </c>
      <c r="F286" s="374">
        <f t="shared" si="41"/>
        <v>1000</v>
      </c>
      <c r="G286" s="375">
        <f t="shared" si="38"/>
        <v>414.96444788853762</v>
      </c>
      <c r="H286" s="271"/>
      <c r="I286" s="57">
        <v>1500</v>
      </c>
      <c r="J286" s="58">
        <f t="shared" si="42"/>
        <v>1500</v>
      </c>
      <c r="K286" s="58">
        <f t="shared" si="40"/>
        <v>622.44667183280637</v>
      </c>
      <c r="M286" s="275"/>
      <c r="N286" s="39"/>
      <c r="O286" s="39"/>
      <c r="P286" s="96"/>
    </row>
    <row r="287" spans="2:18" ht="30.75" customHeight="1" x14ac:dyDescent="0.3">
      <c r="B287" s="372">
        <v>2032</v>
      </c>
      <c r="C287" s="60">
        <f t="shared" si="43"/>
        <v>14</v>
      </c>
      <c r="D287" s="270"/>
      <c r="E287" s="56">
        <v>1000</v>
      </c>
      <c r="F287" s="374">
        <f t="shared" si="41"/>
        <v>1000</v>
      </c>
      <c r="G287" s="375">
        <f t="shared" si="38"/>
        <v>387.81724101732487</v>
      </c>
      <c r="H287" s="271"/>
      <c r="I287" s="57">
        <v>1500</v>
      </c>
      <c r="J287" s="58">
        <f t="shared" si="42"/>
        <v>1500</v>
      </c>
      <c r="K287" s="58">
        <f t="shared" si="40"/>
        <v>581.7258615259874</v>
      </c>
      <c r="M287" s="301" t="s">
        <v>142</v>
      </c>
      <c r="N287" s="39">
        <v>92.1</v>
      </c>
      <c r="O287" s="39">
        <v>157</v>
      </c>
      <c r="P287" s="96">
        <f>+O287*N287</f>
        <v>14459.699999999999</v>
      </c>
    </row>
    <row r="288" spans="2:18" ht="30.75" customHeight="1" x14ac:dyDescent="0.3">
      <c r="B288" s="372">
        <v>2033</v>
      </c>
      <c r="C288" s="60">
        <f t="shared" si="43"/>
        <v>15</v>
      </c>
      <c r="D288" s="270"/>
      <c r="E288" s="56">
        <v>1000</v>
      </c>
      <c r="F288" s="374">
        <f t="shared" si="41"/>
        <v>1000</v>
      </c>
      <c r="G288" s="375">
        <f t="shared" si="38"/>
        <v>362.44601964235966</v>
      </c>
      <c r="H288" s="271">
        <v>290000</v>
      </c>
      <c r="I288" s="57">
        <v>1500</v>
      </c>
      <c r="J288" s="58">
        <f t="shared" si="42"/>
        <v>291500</v>
      </c>
      <c r="K288" s="58">
        <f t="shared" si="40"/>
        <v>105653.01472574784</v>
      </c>
      <c r="M288" s="274"/>
      <c r="N288" s="39"/>
      <c r="O288" s="39"/>
      <c r="P288" s="96"/>
    </row>
    <row r="289" spans="2:16" ht="30.75" customHeight="1" x14ac:dyDescent="0.3">
      <c r="B289" s="372">
        <v>2034</v>
      </c>
      <c r="C289" s="60">
        <f t="shared" si="43"/>
        <v>16</v>
      </c>
      <c r="D289" s="270"/>
      <c r="E289" s="56">
        <v>1000</v>
      </c>
      <c r="F289" s="374">
        <f t="shared" si="41"/>
        <v>1000</v>
      </c>
      <c r="G289" s="375">
        <f t="shared" si="38"/>
        <v>338.73459779659788</v>
      </c>
      <c r="H289" s="271"/>
      <c r="I289" s="57">
        <v>1500</v>
      </c>
      <c r="J289" s="58">
        <f t="shared" si="42"/>
        <v>1500</v>
      </c>
      <c r="K289" s="58">
        <f t="shared" si="40"/>
        <v>508.10189669489682</v>
      </c>
      <c r="M289" s="275" t="s">
        <v>65</v>
      </c>
      <c r="N289" s="50">
        <v>40</v>
      </c>
      <c r="O289" s="39"/>
      <c r="P289" s="97">
        <f>ROUNDUP(+P287*N289,-3)</f>
        <v>579000</v>
      </c>
    </row>
    <row r="290" spans="2:16" ht="30.75" customHeight="1" x14ac:dyDescent="0.3">
      <c r="B290" s="372">
        <v>2035</v>
      </c>
      <c r="C290" s="60">
        <f t="shared" si="43"/>
        <v>17</v>
      </c>
      <c r="D290" s="270"/>
      <c r="E290" s="56">
        <v>1000</v>
      </c>
      <c r="F290" s="374">
        <f t="shared" si="41"/>
        <v>1000</v>
      </c>
      <c r="G290" s="375">
        <f t="shared" si="38"/>
        <v>316.57439046411014</v>
      </c>
      <c r="H290" s="271"/>
      <c r="I290" s="57">
        <v>1500</v>
      </c>
      <c r="J290" s="58">
        <f t="shared" si="42"/>
        <v>1500</v>
      </c>
      <c r="K290" s="58">
        <f t="shared" si="40"/>
        <v>474.86158569616521</v>
      </c>
      <c r="M290" s="275" t="s">
        <v>143</v>
      </c>
      <c r="N290" s="39">
        <v>10</v>
      </c>
      <c r="O290" s="39"/>
      <c r="P290" s="97">
        <f>ROUNDUP(+$P287*N290,-3)</f>
        <v>145000</v>
      </c>
    </row>
    <row r="291" spans="2:16" ht="30.75" customHeight="1" x14ac:dyDescent="0.3">
      <c r="B291" s="372">
        <v>2036</v>
      </c>
      <c r="C291" s="60">
        <f t="shared" si="43"/>
        <v>18</v>
      </c>
      <c r="D291" s="270"/>
      <c r="E291" s="56">
        <v>1000</v>
      </c>
      <c r="F291" s="374">
        <f t="shared" si="41"/>
        <v>1000</v>
      </c>
      <c r="G291" s="375">
        <f t="shared" si="38"/>
        <v>295.86391632159825</v>
      </c>
      <c r="H291" s="271"/>
      <c r="I291" s="57">
        <v>1500</v>
      </c>
      <c r="J291" s="58">
        <f t="shared" si="42"/>
        <v>1500</v>
      </c>
      <c r="K291" s="58">
        <f t="shared" si="40"/>
        <v>443.79587448239738</v>
      </c>
      <c r="M291" s="275" t="s">
        <v>67</v>
      </c>
      <c r="N291" s="39">
        <v>20</v>
      </c>
      <c r="O291" s="39"/>
      <c r="P291" s="97">
        <f>ROUNDUP(+$P287*N291,-3)</f>
        <v>290000</v>
      </c>
    </row>
    <row r="292" spans="2:16" ht="30.75" customHeight="1" x14ac:dyDescent="0.3">
      <c r="B292" s="372">
        <v>2037</v>
      </c>
      <c r="C292" s="60">
        <f t="shared" si="43"/>
        <v>19</v>
      </c>
      <c r="D292" s="270"/>
      <c r="E292" s="56">
        <v>1000</v>
      </c>
      <c r="F292" s="374">
        <f t="shared" si="41"/>
        <v>1000</v>
      </c>
      <c r="G292" s="375">
        <f t="shared" si="38"/>
        <v>276.50833301083946</v>
      </c>
      <c r="H292" s="271"/>
      <c r="I292" s="57">
        <v>1500</v>
      </c>
      <c r="J292" s="58">
        <f t="shared" si="42"/>
        <v>1500</v>
      </c>
      <c r="K292" s="58">
        <f t="shared" si="40"/>
        <v>414.76249951625925</v>
      </c>
      <c r="M292" s="275" t="s">
        <v>68</v>
      </c>
      <c r="N292" s="39">
        <v>200000</v>
      </c>
      <c r="O292" s="39"/>
      <c r="P292" s="97">
        <f>+N292</f>
        <v>200000</v>
      </c>
    </row>
    <row r="293" spans="2:16" ht="30.75" customHeight="1" thickBot="1" x14ac:dyDescent="0.3">
      <c r="B293" s="372">
        <v>2038</v>
      </c>
      <c r="C293" s="60">
        <f t="shared" si="43"/>
        <v>20</v>
      </c>
      <c r="D293" s="270"/>
      <c r="E293" s="56">
        <v>1000</v>
      </c>
      <c r="F293" s="374">
        <f t="shared" si="41"/>
        <v>1000</v>
      </c>
      <c r="G293" s="375">
        <f t="shared" si="38"/>
        <v>258.4190028138687</v>
      </c>
      <c r="H293" s="271"/>
      <c r="I293" s="57">
        <v>1500</v>
      </c>
      <c r="J293" s="58">
        <f t="shared" si="42"/>
        <v>1500</v>
      </c>
      <c r="K293" s="58">
        <f t="shared" si="40"/>
        <v>387.62850422080305</v>
      </c>
      <c r="M293" s="98" t="s">
        <v>106</v>
      </c>
      <c r="N293" s="99">
        <v>50</v>
      </c>
      <c r="O293" s="99"/>
      <c r="P293" s="100">
        <f>ROUNDUP(+$P287*N293,-3)</f>
        <v>723000</v>
      </c>
    </row>
    <row r="294" spans="2:16" ht="30.75" customHeight="1" x14ac:dyDescent="0.25">
      <c r="B294" s="372">
        <v>2039</v>
      </c>
      <c r="C294" s="60">
        <f t="shared" si="43"/>
        <v>21</v>
      </c>
      <c r="D294" s="270"/>
      <c r="E294" s="56">
        <v>1000</v>
      </c>
      <c r="F294" s="374">
        <f t="shared" si="41"/>
        <v>1000</v>
      </c>
      <c r="G294" s="375">
        <f t="shared" si="38"/>
        <v>241.51308674193336</v>
      </c>
      <c r="H294" s="302"/>
      <c r="I294" s="57">
        <v>1500</v>
      </c>
      <c r="J294" s="58">
        <f t="shared" si="42"/>
        <v>1500</v>
      </c>
      <c r="K294" s="58">
        <f t="shared" si="40"/>
        <v>362.26963011290002</v>
      </c>
    </row>
    <row r="295" spans="2:16" ht="30.75" customHeight="1" x14ac:dyDescent="0.25">
      <c r="B295" s="372">
        <v>2040</v>
      </c>
      <c r="C295" s="60">
        <f t="shared" si="43"/>
        <v>22</v>
      </c>
      <c r="D295" s="270"/>
      <c r="E295" s="56">
        <v>1000</v>
      </c>
      <c r="F295" s="374">
        <f t="shared" si="41"/>
        <v>1000</v>
      </c>
      <c r="G295" s="375">
        <f t="shared" si="38"/>
        <v>225.71316517937697</v>
      </c>
      <c r="H295" s="271">
        <f>579000</f>
        <v>579000</v>
      </c>
      <c r="I295" s="57">
        <v>1500</v>
      </c>
      <c r="J295" s="58">
        <f t="shared" si="42"/>
        <v>580500</v>
      </c>
      <c r="K295" s="58">
        <f t="shared" si="40"/>
        <v>131026.49238662834</v>
      </c>
    </row>
    <row r="296" spans="2:16" ht="30.75" customHeight="1" x14ac:dyDescent="0.25">
      <c r="B296" s="372">
        <v>2041</v>
      </c>
      <c r="C296" s="60">
        <f t="shared" si="43"/>
        <v>23</v>
      </c>
      <c r="D296" s="270"/>
      <c r="E296" s="56">
        <v>1000</v>
      </c>
      <c r="F296" s="374">
        <f t="shared" si="41"/>
        <v>1000</v>
      </c>
      <c r="G296" s="375">
        <f t="shared" si="38"/>
        <v>210.94688334521211</v>
      </c>
      <c r="H296" s="278"/>
      <c r="I296" s="57">
        <v>1500</v>
      </c>
      <c r="J296" s="58">
        <f t="shared" si="42"/>
        <v>1500</v>
      </c>
      <c r="K296" s="58">
        <f t="shared" si="40"/>
        <v>316.42032501781819</v>
      </c>
    </row>
    <row r="297" spans="2:16" ht="30.75" customHeight="1" x14ac:dyDescent="0.3">
      <c r="B297" s="372">
        <v>2042</v>
      </c>
      <c r="C297" s="60">
        <f t="shared" si="43"/>
        <v>24</v>
      </c>
      <c r="D297" s="270"/>
      <c r="E297" s="56">
        <v>1000</v>
      </c>
      <c r="F297" s="374">
        <f t="shared" si="41"/>
        <v>1000</v>
      </c>
      <c r="G297" s="375">
        <f t="shared" si="38"/>
        <v>197.14661994879637</v>
      </c>
      <c r="H297" s="271"/>
      <c r="I297" s="57">
        <v>1500</v>
      </c>
      <c r="J297" s="58">
        <f t="shared" si="42"/>
        <v>1500</v>
      </c>
      <c r="K297" s="58">
        <f t="shared" si="40"/>
        <v>295.71992992319451</v>
      </c>
      <c r="M297" s="41"/>
      <c r="N297" s="39"/>
      <c r="O297" s="39"/>
      <c r="P297" s="39"/>
    </row>
    <row r="298" spans="2:16" ht="30.75" customHeight="1" x14ac:dyDescent="0.3">
      <c r="B298" s="372">
        <v>2043</v>
      </c>
      <c r="C298" s="60">
        <f t="shared" si="43"/>
        <v>25</v>
      </c>
      <c r="D298" s="270"/>
      <c r="E298" s="56">
        <v>1000</v>
      </c>
      <c r="F298" s="374">
        <f t="shared" si="41"/>
        <v>1000</v>
      </c>
      <c r="G298" s="375">
        <f t="shared" si="38"/>
        <v>184.24917752223956</v>
      </c>
      <c r="H298" s="271"/>
      <c r="I298" s="57">
        <v>1500</v>
      </c>
      <c r="J298" s="58">
        <f t="shared" si="42"/>
        <v>1500</v>
      </c>
      <c r="K298" s="58">
        <f t="shared" si="40"/>
        <v>276.37376628335937</v>
      </c>
      <c r="M298" s="41"/>
      <c r="N298" s="39"/>
      <c r="O298" s="39"/>
      <c r="P298" s="39"/>
    </row>
    <row r="299" spans="2:16" ht="30.75" customHeight="1" x14ac:dyDescent="0.3">
      <c r="B299" s="372">
        <v>2044</v>
      </c>
      <c r="C299" s="60">
        <f t="shared" si="43"/>
        <v>26</v>
      </c>
      <c r="D299" s="270"/>
      <c r="E299" s="56">
        <v>1000</v>
      </c>
      <c r="F299" s="374">
        <f t="shared" si="41"/>
        <v>1000</v>
      </c>
      <c r="G299" s="375">
        <f t="shared" si="38"/>
        <v>172.19549301143888</v>
      </c>
      <c r="H299" s="271"/>
      <c r="I299" s="57">
        <v>1500</v>
      </c>
      <c r="J299" s="58">
        <f t="shared" si="42"/>
        <v>1500</v>
      </c>
      <c r="K299" s="58">
        <f t="shared" si="40"/>
        <v>258.29323951715833</v>
      </c>
      <c r="M299" s="39"/>
      <c r="N299" s="39"/>
      <c r="O299" s="39"/>
      <c r="P299" s="39"/>
    </row>
    <row r="300" spans="2:16" ht="30.75" customHeight="1" x14ac:dyDescent="0.3">
      <c r="B300" s="372">
        <v>2045</v>
      </c>
      <c r="C300" s="60">
        <f t="shared" si="43"/>
        <v>27</v>
      </c>
      <c r="D300" s="279"/>
      <c r="E300" s="56">
        <v>1000</v>
      </c>
      <c r="F300" s="374">
        <f t="shared" si="41"/>
        <v>1000</v>
      </c>
      <c r="G300" s="375">
        <f t="shared" si="38"/>
        <v>160.93036730041013</v>
      </c>
      <c r="H300" s="271"/>
      <c r="I300" s="57">
        <v>1500</v>
      </c>
      <c r="J300" s="58">
        <f t="shared" si="42"/>
        <v>1500</v>
      </c>
      <c r="K300" s="58">
        <f t="shared" si="40"/>
        <v>241.39555095061519</v>
      </c>
      <c r="M300" s="41"/>
      <c r="N300" s="50"/>
      <c r="O300" s="39"/>
      <c r="P300" s="40"/>
    </row>
    <row r="301" spans="2:16" ht="30.75" customHeight="1" x14ac:dyDescent="0.3">
      <c r="B301" s="372">
        <v>2046</v>
      </c>
      <c r="C301" s="60">
        <f t="shared" si="43"/>
        <v>28</v>
      </c>
      <c r="D301" s="270"/>
      <c r="E301" s="56">
        <v>1000</v>
      </c>
      <c r="F301" s="374">
        <f t="shared" si="41"/>
        <v>1000</v>
      </c>
      <c r="G301" s="375">
        <f t="shared" si="38"/>
        <v>150.40221243028986</v>
      </c>
      <c r="H301" s="271"/>
      <c r="I301" s="57">
        <v>1500</v>
      </c>
      <c r="J301" s="58">
        <f t="shared" si="42"/>
        <v>1500</v>
      </c>
      <c r="K301" s="58">
        <f t="shared" si="40"/>
        <v>225.6033186454348</v>
      </c>
      <c r="M301" s="41"/>
      <c r="N301" s="39"/>
      <c r="O301" s="39"/>
      <c r="P301" s="40"/>
    </row>
    <row r="302" spans="2:16" ht="30.75" customHeight="1" x14ac:dyDescent="0.3">
      <c r="B302" s="372">
        <v>2047</v>
      </c>
      <c r="C302" s="60">
        <f t="shared" si="43"/>
        <v>29</v>
      </c>
      <c r="D302" s="270"/>
      <c r="E302" s="56">
        <v>1000</v>
      </c>
      <c r="F302" s="374">
        <f t="shared" si="41"/>
        <v>1000</v>
      </c>
      <c r="G302" s="375">
        <f t="shared" si="38"/>
        <v>140.56281535541109</v>
      </c>
      <c r="H302" s="271"/>
      <c r="I302" s="57">
        <v>1500</v>
      </c>
      <c r="J302" s="58">
        <f t="shared" si="42"/>
        <v>1500</v>
      </c>
      <c r="K302" s="58">
        <f t="shared" si="40"/>
        <v>210.84422303311663</v>
      </c>
      <c r="M302" s="41"/>
      <c r="N302" s="39"/>
      <c r="O302" s="39"/>
      <c r="P302" s="40"/>
    </row>
    <row r="303" spans="2:16" ht="30.75" customHeight="1" x14ac:dyDescent="0.3">
      <c r="B303" s="372">
        <v>2048</v>
      </c>
      <c r="C303" s="60">
        <f t="shared" si="43"/>
        <v>30</v>
      </c>
      <c r="D303" s="270"/>
      <c r="E303" s="56">
        <v>1000</v>
      </c>
      <c r="F303" s="374">
        <f t="shared" si="41"/>
        <v>1000</v>
      </c>
      <c r="G303" s="375">
        <f t="shared" si="38"/>
        <v>131.36711715458981</v>
      </c>
      <c r="H303" s="271"/>
      <c r="I303" s="57">
        <v>1500</v>
      </c>
      <c r="J303" s="58">
        <f t="shared" si="42"/>
        <v>1500</v>
      </c>
      <c r="K303" s="58">
        <f t="shared" si="40"/>
        <v>197.05067573188472</v>
      </c>
      <c r="M303" s="41"/>
      <c r="N303" s="39"/>
      <c r="O303" s="39"/>
      <c r="P303" s="40"/>
    </row>
    <row r="304" spans="2:16" ht="30.75" customHeight="1" x14ac:dyDescent="0.25">
      <c r="B304" s="378">
        <v>2049</v>
      </c>
      <c r="C304" s="379">
        <f t="shared" si="43"/>
        <v>31</v>
      </c>
      <c r="D304" s="62"/>
      <c r="E304" s="414">
        <v>1000</v>
      </c>
      <c r="F304" s="381">
        <f t="shared" si="41"/>
        <v>1000</v>
      </c>
      <c r="G304" s="382">
        <f t="shared" si="38"/>
        <v>122.77300668653251</v>
      </c>
      <c r="H304" s="63">
        <f>290000</f>
        <v>290000</v>
      </c>
      <c r="I304" s="383">
        <v>1500</v>
      </c>
      <c r="J304" s="384">
        <f t="shared" si="42"/>
        <v>291500</v>
      </c>
      <c r="K304" s="384">
        <f t="shared" si="40"/>
        <v>35788.331449124227</v>
      </c>
    </row>
    <row r="305" spans="2:16" ht="30.75" customHeight="1" x14ac:dyDescent="0.25">
      <c r="B305" s="64"/>
      <c r="C305" s="385"/>
      <c r="D305" s="60"/>
      <c r="E305" s="65"/>
      <c r="F305" s="66"/>
      <c r="G305" s="67"/>
      <c r="H305" s="65"/>
      <c r="I305" s="65"/>
      <c r="J305" s="67"/>
      <c r="K305" s="67"/>
    </row>
    <row r="306" spans="2:16" ht="30.75" customHeight="1" thickBot="1" x14ac:dyDescent="0.3">
      <c r="B306" s="64"/>
      <c r="C306" s="68"/>
      <c r="D306" s="68"/>
      <c r="E306" s="69"/>
      <c r="F306" s="66"/>
      <c r="G306" s="67"/>
      <c r="H306" s="70"/>
      <c r="I306" s="65"/>
      <c r="J306" s="67"/>
      <c r="K306" s="67"/>
    </row>
    <row r="307" spans="2:16" ht="30.75" customHeight="1" x14ac:dyDescent="0.25">
      <c r="B307" s="71"/>
      <c r="C307" s="68"/>
      <c r="D307" s="68"/>
      <c r="E307" s="72"/>
      <c r="F307" s="67"/>
      <c r="G307" s="73" t="s">
        <v>70</v>
      </c>
      <c r="H307" s="74"/>
      <c r="I307" s="65"/>
      <c r="J307" s="67"/>
      <c r="K307" s="75" t="s">
        <v>71</v>
      </c>
      <c r="L307" s="51"/>
    </row>
    <row r="308" spans="2:16" ht="30.75" customHeight="1" x14ac:dyDescent="0.25">
      <c r="B308" s="71"/>
      <c r="C308" s="71"/>
      <c r="D308" s="71"/>
      <c r="E308" s="55"/>
      <c r="F308" s="71"/>
      <c r="G308" s="241" t="s">
        <v>72</v>
      </c>
      <c r="H308" s="71"/>
      <c r="I308" s="71"/>
      <c r="J308" s="55"/>
      <c r="K308" s="242" t="s">
        <v>72</v>
      </c>
    </row>
    <row r="309" spans="2:16" ht="30.75" customHeight="1" thickBot="1" x14ac:dyDescent="0.3">
      <c r="B309" s="71"/>
      <c r="C309" s="76"/>
      <c r="D309" s="76"/>
      <c r="E309" s="77"/>
      <c r="F309" s="76"/>
      <c r="G309" s="78">
        <f>SUM(G273:G304)</f>
        <v>479674.60126638081</v>
      </c>
      <c r="H309" s="71"/>
      <c r="I309" s="71"/>
      <c r="J309" s="55"/>
      <c r="K309" s="79">
        <f>SUM(K273:K304)</f>
        <v>307575.6702419963</v>
      </c>
    </row>
    <row r="310" spans="2:16" ht="30.75" customHeight="1" thickBot="1" x14ac:dyDescent="0.3">
      <c r="B310" s="80" t="s">
        <v>73</v>
      </c>
      <c r="C310" s="76"/>
      <c r="D310" s="76"/>
      <c r="E310" s="71"/>
      <c r="F310" s="76"/>
      <c r="G310" s="81"/>
      <c r="H310" s="71"/>
      <c r="I310" s="71"/>
      <c r="J310" s="71"/>
      <c r="K310" s="77"/>
    </row>
    <row r="311" spans="2:16" ht="30.75" customHeight="1" x14ac:dyDescent="0.25">
      <c r="B311" s="82" t="s">
        <v>74</v>
      </c>
      <c r="C311" s="83"/>
      <c r="D311" s="84">
        <v>7.0000000000000007E-2</v>
      </c>
      <c r="E311" s="55"/>
      <c r="F311" s="55"/>
      <c r="G311" s="55"/>
      <c r="H311" s="71"/>
      <c r="I311" s="85" t="s">
        <v>75</v>
      </c>
      <c r="J311" s="77"/>
      <c r="K311" s="55"/>
      <c r="L311" s="52"/>
      <c r="M311" s="190"/>
      <c r="P311" s="53"/>
    </row>
    <row r="312" spans="2:16" ht="30.75" customHeight="1" thickBot="1" x14ac:dyDescent="0.3">
      <c r="B312" s="86"/>
      <c r="C312" s="87"/>
      <c r="D312" s="55"/>
      <c r="E312" s="55"/>
      <c r="F312" s="71"/>
      <c r="G312" s="88"/>
      <c r="H312" s="88"/>
      <c r="I312" s="89">
        <f>G309/K309</f>
        <v>1.5595336292008384</v>
      </c>
      <c r="J312" s="55"/>
      <c r="K312" s="55"/>
      <c r="P312" s="53"/>
    </row>
  </sheetData>
  <mergeCells count="30">
    <mergeCell ref="M220:O220"/>
    <mergeCell ref="B268:K268"/>
    <mergeCell ref="B269:K270"/>
    <mergeCell ref="D271:G271"/>
    <mergeCell ref="H271:K271"/>
    <mergeCell ref="B212:K212"/>
    <mergeCell ref="B215:I215"/>
    <mergeCell ref="B216:K216"/>
    <mergeCell ref="B217:K218"/>
    <mergeCell ref="D219:G219"/>
    <mergeCell ref="H219:K219"/>
    <mergeCell ref="B158:K158"/>
    <mergeCell ref="B161:K161"/>
    <mergeCell ref="B162:K162"/>
    <mergeCell ref="B163:K164"/>
    <mergeCell ref="D165:G165"/>
    <mergeCell ref="H165:K165"/>
    <mergeCell ref="B110:K110"/>
    <mergeCell ref="B111:K112"/>
    <mergeCell ref="D113:G113"/>
    <mergeCell ref="H113:K113"/>
    <mergeCell ref="B58:K58"/>
    <mergeCell ref="B59:K60"/>
    <mergeCell ref="D61:G61"/>
    <mergeCell ref="H61:K61"/>
    <mergeCell ref="B2:I2"/>
    <mergeCell ref="B6:K6"/>
    <mergeCell ref="B7:K8"/>
    <mergeCell ref="D9:G9"/>
    <mergeCell ref="H9:K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27"/>
  <sheetViews>
    <sheetView zoomScale="75" zoomScaleNormal="75" zoomScalePageLayoutView="75" workbookViewId="0">
      <selection activeCell="R1" sqref="R1:R36"/>
    </sheetView>
  </sheetViews>
  <sheetFormatPr defaultColWidth="16" defaultRowHeight="16.2" x14ac:dyDescent="0.25"/>
  <cols>
    <col min="1" max="1" width="5" style="2" customWidth="1"/>
    <col min="2" max="2" width="9.5546875" style="2" customWidth="1"/>
    <col min="3" max="3" width="15" style="2" customWidth="1"/>
    <col min="4" max="4" width="19.88671875" style="2" customWidth="1"/>
    <col min="5" max="7" width="21" style="2" customWidth="1"/>
    <col min="8" max="8" width="19.109375" style="2" customWidth="1"/>
    <col min="9" max="12" width="21" style="2" customWidth="1"/>
    <col min="13" max="13" width="23.109375" style="4" customWidth="1"/>
    <col min="14" max="15" width="19.88671875" style="4" customWidth="1"/>
    <col min="16" max="16" width="21.44140625" style="4" customWidth="1"/>
    <col min="17" max="17" width="4.5546875" style="2" customWidth="1"/>
    <col min="18" max="18" width="18.33203125" style="2" customWidth="1"/>
    <col min="19" max="16384" width="16" style="2"/>
  </cols>
  <sheetData>
    <row r="1" spans="1:18" x14ac:dyDescent="0.25">
      <c r="A1" s="567" t="s">
        <v>144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R1" s="191"/>
    </row>
    <row r="2" spans="1:18" x14ac:dyDescent="0.3">
      <c r="A2" s="415" t="s">
        <v>145</v>
      </c>
      <c r="B2" s="415" t="s">
        <v>146</v>
      </c>
      <c r="C2" s="415" t="s">
        <v>147</v>
      </c>
      <c r="D2" s="415" t="s">
        <v>148</v>
      </c>
      <c r="E2" s="415" t="s">
        <v>149</v>
      </c>
      <c r="F2" s="415" t="s">
        <v>150</v>
      </c>
      <c r="G2" s="415" t="s">
        <v>151</v>
      </c>
      <c r="H2" s="415" t="s">
        <v>152</v>
      </c>
      <c r="I2" s="415" t="s">
        <v>153</v>
      </c>
      <c r="J2" s="415" t="s">
        <v>154</v>
      </c>
      <c r="K2" s="415" t="s">
        <v>155</v>
      </c>
      <c r="L2" s="415" t="s">
        <v>88</v>
      </c>
      <c r="M2" s="415" t="s">
        <v>156</v>
      </c>
      <c r="N2" s="415" t="s">
        <v>157</v>
      </c>
      <c r="O2" s="415" t="s">
        <v>158</v>
      </c>
      <c r="P2" s="415" t="s">
        <v>159</v>
      </c>
      <c r="R2" s="415" t="s">
        <v>160</v>
      </c>
    </row>
    <row r="3" spans="1:18" ht="105.9" customHeight="1" x14ac:dyDescent="0.3">
      <c r="A3" s="416" t="s">
        <v>29</v>
      </c>
      <c r="B3" s="417" t="s">
        <v>30</v>
      </c>
      <c r="C3" s="418" t="s">
        <v>161</v>
      </c>
      <c r="D3" s="417" t="s">
        <v>162</v>
      </c>
      <c r="E3" s="417" t="s">
        <v>163</v>
      </c>
      <c r="F3" s="417" t="s">
        <v>164</v>
      </c>
      <c r="G3" s="417" t="s">
        <v>165</v>
      </c>
      <c r="H3" s="417" t="s">
        <v>166</v>
      </c>
      <c r="I3" s="417" t="s">
        <v>167</v>
      </c>
      <c r="J3" s="417" t="s">
        <v>168</v>
      </c>
      <c r="K3" s="417" t="s">
        <v>169</v>
      </c>
      <c r="L3" s="417" t="s">
        <v>164</v>
      </c>
      <c r="M3" s="417" t="s">
        <v>170</v>
      </c>
      <c r="N3" s="417" t="s">
        <v>171</v>
      </c>
      <c r="O3" s="417" t="s">
        <v>172</v>
      </c>
      <c r="P3" s="416" t="s">
        <v>32</v>
      </c>
      <c r="R3" s="417" t="s">
        <v>173</v>
      </c>
    </row>
    <row r="4" spans="1:18" x14ac:dyDescent="0.3">
      <c r="A4" s="419">
        <v>0</v>
      </c>
      <c r="B4" s="420">
        <v>2018</v>
      </c>
      <c r="C4" s="421">
        <v>26552.7</v>
      </c>
      <c r="D4" s="422">
        <f>C4*365</f>
        <v>9691735.5</v>
      </c>
      <c r="E4" s="423">
        <v>0</v>
      </c>
      <c r="F4" s="423">
        <v>0</v>
      </c>
      <c r="G4" s="424">
        <f>1.67*16.6</f>
        <v>27.722000000000001</v>
      </c>
      <c r="H4" s="425">
        <f t="shared" ref="H4:H10" si="0">D4*F4*G4</f>
        <v>0</v>
      </c>
      <c r="I4" s="426">
        <v>2787.3</v>
      </c>
      <c r="J4" s="427">
        <f>I4*365</f>
        <v>1017364.5000000001</v>
      </c>
      <c r="K4" s="423">
        <v>0</v>
      </c>
      <c r="L4" s="423">
        <v>0</v>
      </c>
      <c r="M4" s="424">
        <v>29.5</v>
      </c>
      <c r="N4" s="425">
        <f t="shared" ref="N4:N10" si="1">J4*L4*M4</f>
        <v>0</v>
      </c>
      <c r="O4" s="425">
        <f t="shared" ref="O4:O35" si="2">H4+N4</f>
        <v>0</v>
      </c>
      <c r="P4" s="425">
        <f t="shared" ref="P4:P35" si="3">O4/(1+0.07)^A4</f>
        <v>0</v>
      </c>
      <c r="R4" s="425">
        <f>N4/(1+0.07)^A4</f>
        <v>0</v>
      </c>
    </row>
    <row r="5" spans="1:18" x14ac:dyDescent="0.3">
      <c r="A5" s="419">
        <v>1</v>
      </c>
      <c r="B5" s="420">
        <f>1+B4</f>
        <v>2019</v>
      </c>
      <c r="C5" s="421">
        <v>26679.4</v>
      </c>
      <c r="D5" s="422">
        <f t="shared" ref="D5:D13" si="4">C5*365</f>
        <v>9737981</v>
      </c>
      <c r="E5" s="423">
        <v>0</v>
      </c>
      <c r="F5" s="423">
        <v>0</v>
      </c>
      <c r="G5" s="424">
        <f t="shared" ref="G5:G35" si="5">1.67*16.6</f>
        <v>27.722000000000001</v>
      </c>
      <c r="H5" s="425">
        <f t="shared" si="0"/>
        <v>0</v>
      </c>
      <c r="I5" s="426">
        <v>2800.6</v>
      </c>
      <c r="J5" s="427">
        <f t="shared" ref="J5:J13" si="6">I5*365</f>
        <v>1022219</v>
      </c>
      <c r="K5" s="423">
        <v>0</v>
      </c>
      <c r="L5" s="423">
        <v>0</v>
      </c>
      <c r="M5" s="424">
        <v>29.5</v>
      </c>
      <c r="N5" s="425">
        <f t="shared" si="1"/>
        <v>0</v>
      </c>
      <c r="O5" s="425">
        <f t="shared" si="2"/>
        <v>0</v>
      </c>
      <c r="P5" s="425">
        <f t="shared" si="3"/>
        <v>0</v>
      </c>
      <c r="R5" s="425">
        <f t="shared" ref="R5:R35" si="7">N5/(1+0.07)^A5</f>
        <v>0</v>
      </c>
    </row>
    <row r="6" spans="1:18" x14ac:dyDescent="0.3">
      <c r="A6" s="419">
        <v>2</v>
      </c>
      <c r="B6" s="420">
        <f t="shared" ref="B6:B35" si="8">1+B5</f>
        <v>2020</v>
      </c>
      <c r="C6" s="421">
        <v>26815.15</v>
      </c>
      <c r="D6" s="422">
        <f t="shared" si="4"/>
        <v>9787529.75</v>
      </c>
      <c r="E6" s="423">
        <v>0</v>
      </c>
      <c r="F6" s="423">
        <v>0</v>
      </c>
      <c r="G6" s="424">
        <f t="shared" si="5"/>
        <v>27.722000000000001</v>
      </c>
      <c r="H6" s="425">
        <f t="shared" si="0"/>
        <v>0</v>
      </c>
      <c r="I6" s="426">
        <v>2814.85</v>
      </c>
      <c r="J6" s="427">
        <f t="shared" si="6"/>
        <v>1027420.25</v>
      </c>
      <c r="K6" s="423">
        <v>0</v>
      </c>
      <c r="L6" s="423">
        <v>0</v>
      </c>
      <c r="M6" s="424">
        <v>29.5</v>
      </c>
      <c r="N6" s="425">
        <f t="shared" si="1"/>
        <v>0</v>
      </c>
      <c r="O6" s="425">
        <f t="shared" si="2"/>
        <v>0</v>
      </c>
      <c r="P6" s="425">
        <f t="shared" si="3"/>
        <v>0</v>
      </c>
      <c r="Q6" s="3"/>
      <c r="R6" s="425">
        <f t="shared" si="7"/>
        <v>0</v>
      </c>
    </row>
    <row r="7" spans="1:18" x14ac:dyDescent="0.3">
      <c r="A7" s="419">
        <v>3</v>
      </c>
      <c r="B7" s="420">
        <f t="shared" si="8"/>
        <v>2021</v>
      </c>
      <c r="C7" s="421">
        <v>26941.85</v>
      </c>
      <c r="D7" s="422">
        <f t="shared" si="4"/>
        <v>9833775.25</v>
      </c>
      <c r="E7" s="423">
        <v>0</v>
      </c>
      <c r="F7" s="423">
        <v>0</v>
      </c>
      <c r="G7" s="424">
        <f t="shared" si="5"/>
        <v>27.722000000000001</v>
      </c>
      <c r="H7" s="425">
        <f t="shared" si="0"/>
        <v>0</v>
      </c>
      <c r="I7" s="426">
        <v>2828.15</v>
      </c>
      <c r="J7" s="427">
        <f t="shared" si="6"/>
        <v>1032274.75</v>
      </c>
      <c r="K7" s="423">
        <v>0</v>
      </c>
      <c r="L7" s="423">
        <v>0</v>
      </c>
      <c r="M7" s="424">
        <v>29.5</v>
      </c>
      <c r="N7" s="425">
        <f t="shared" si="1"/>
        <v>0</v>
      </c>
      <c r="O7" s="425">
        <f t="shared" si="2"/>
        <v>0</v>
      </c>
      <c r="P7" s="425">
        <f t="shared" si="3"/>
        <v>0</v>
      </c>
      <c r="R7" s="425">
        <f t="shared" si="7"/>
        <v>0</v>
      </c>
    </row>
    <row r="8" spans="1:18" x14ac:dyDescent="0.3">
      <c r="A8" s="419">
        <v>4</v>
      </c>
      <c r="B8" s="420">
        <f t="shared" si="8"/>
        <v>2022</v>
      </c>
      <c r="C8" s="421">
        <v>27077.599999999999</v>
      </c>
      <c r="D8" s="422">
        <f t="shared" si="4"/>
        <v>9883324</v>
      </c>
      <c r="E8" s="423">
        <v>0</v>
      </c>
      <c r="F8" s="423">
        <v>0</v>
      </c>
      <c r="G8" s="424">
        <f t="shared" si="5"/>
        <v>27.722000000000001</v>
      </c>
      <c r="H8" s="425">
        <f t="shared" si="0"/>
        <v>0</v>
      </c>
      <c r="I8" s="426">
        <v>2842.4</v>
      </c>
      <c r="J8" s="427">
        <f t="shared" si="6"/>
        <v>1037476</v>
      </c>
      <c r="K8" s="423">
        <v>0</v>
      </c>
      <c r="L8" s="423">
        <v>0</v>
      </c>
      <c r="M8" s="424">
        <v>29.5</v>
      </c>
      <c r="N8" s="425">
        <f t="shared" si="1"/>
        <v>0</v>
      </c>
      <c r="O8" s="425">
        <f t="shared" si="2"/>
        <v>0</v>
      </c>
      <c r="P8" s="425">
        <f t="shared" si="3"/>
        <v>0</v>
      </c>
      <c r="R8" s="425">
        <f t="shared" si="7"/>
        <v>0</v>
      </c>
    </row>
    <row r="9" spans="1:18" x14ac:dyDescent="0.3">
      <c r="A9" s="419">
        <v>5</v>
      </c>
      <c r="B9" s="420">
        <f t="shared" si="8"/>
        <v>2023</v>
      </c>
      <c r="C9" s="421">
        <v>27204.3</v>
      </c>
      <c r="D9" s="422">
        <f t="shared" si="4"/>
        <v>9929569.5</v>
      </c>
      <c r="E9" s="423">
        <v>0</v>
      </c>
      <c r="F9" s="423">
        <v>0</v>
      </c>
      <c r="G9" s="424">
        <f t="shared" si="5"/>
        <v>27.722000000000001</v>
      </c>
      <c r="H9" s="425">
        <f t="shared" si="0"/>
        <v>0</v>
      </c>
      <c r="I9" s="426">
        <v>2855.7</v>
      </c>
      <c r="J9" s="427">
        <f t="shared" si="6"/>
        <v>1042330.4999999999</v>
      </c>
      <c r="K9" s="423">
        <v>0</v>
      </c>
      <c r="L9" s="423">
        <v>0</v>
      </c>
      <c r="M9" s="424">
        <v>29.5</v>
      </c>
      <c r="N9" s="425">
        <f t="shared" si="1"/>
        <v>0</v>
      </c>
      <c r="O9" s="425">
        <f t="shared" si="2"/>
        <v>0</v>
      </c>
      <c r="P9" s="425">
        <f t="shared" si="3"/>
        <v>0</v>
      </c>
      <c r="R9" s="425">
        <f t="shared" si="7"/>
        <v>0</v>
      </c>
    </row>
    <row r="10" spans="1:18" ht="15" customHeight="1" x14ac:dyDescent="0.3">
      <c r="A10" s="419">
        <v>6</v>
      </c>
      <c r="B10" s="420">
        <f t="shared" si="8"/>
        <v>2024</v>
      </c>
      <c r="C10" s="421">
        <v>27340.05</v>
      </c>
      <c r="D10" s="422">
        <f t="shared" si="4"/>
        <v>9979118.25</v>
      </c>
      <c r="E10" s="423">
        <v>0</v>
      </c>
      <c r="F10" s="423">
        <v>0</v>
      </c>
      <c r="G10" s="424">
        <f t="shared" si="5"/>
        <v>27.722000000000001</v>
      </c>
      <c r="H10" s="425">
        <f t="shared" si="0"/>
        <v>0</v>
      </c>
      <c r="I10" s="426">
        <v>2869.95</v>
      </c>
      <c r="J10" s="427">
        <f t="shared" si="6"/>
        <v>1047531.7499999999</v>
      </c>
      <c r="K10" s="423">
        <v>0</v>
      </c>
      <c r="L10" s="423">
        <v>0</v>
      </c>
      <c r="M10" s="424">
        <v>29.5</v>
      </c>
      <c r="N10" s="425">
        <f t="shared" si="1"/>
        <v>0</v>
      </c>
      <c r="O10" s="425">
        <f t="shared" si="2"/>
        <v>0</v>
      </c>
      <c r="P10" s="425">
        <f t="shared" si="3"/>
        <v>0</v>
      </c>
      <c r="R10" s="425">
        <f t="shared" si="7"/>
        <v>0</v>
      </c>
    </row>
    <row r="11" spans="1:18" x14ac:dyDescent="0.3">
      <c r="A11" s="419">
        <v>7</v>
      </c>
      <c r="B11" s="420">
        <f t="shared" si="8"/>
        <v>2025</v>
      </c>
      <c r="C11" s="421">
        <v>27466.75</v>
      </c>
      <c r="D11" s="422">
        <f t="shared" si="4"/>
        <v>10025363.75</v>
      </c>
      <c r="E11" s="428">
        <v>-0.7</v>
      </c>
      <c r="F11" s="429">
        <v>0.14499999999999999</v>
      </c>
      <c r="G11" s="424">
        <f t="shared" si="5"/>
        <v>27.722000000000001</v>
      </c>
      <c r="H11" s="425">
        <f t="shared" ref="H11:H35" si="9">D11*F11*G11</f>
        <v>40298854.412237503</v>
      </c>
      <c r="I11" s="426">
        <v>2883.25</v>
      </c>
      <c r="J11" s="427">
        <f t="shared" si="6"/>
        <v>1052386.25</v>
      </c>
      <c r="K11" s="423">
        <v>1.6</v>
      </c>
      <c r="L11" s="429">
        <v>5.5E-2</v>
      </c>
      <c r="M11" s="424">
        <v>29.5</v>
      </c>
      <c r="N11" s="425">
        <f t="shared" ref="N11:N35" si="10">J11*L11*M11</f>
        <v>1707496.690625</v>
      </c>
      <c r="O11" s="425">
        <f t="shared" si="2"/>
        <v>42006351.1028625</v>
      </c>
      <c r="P11" s="425">
        <f t="shared" si="3"/>
        <v>26159444.30682113</v>
      </c>
      <c r="R11" s="425">
        <f t="shared" si="7"/>
        <v>1063343.1233555123</v>
      </c>
    </row>
    <row r="12" spans="1:18" x14ac:dyDescent="0.3">
      <c r="A12" s="419">
        <v>8</v>
      </c>
      <c r="B12" s="420">
        <f t="shared" si="8"/>
        <v>2026</v>
      </c>
      <c r="C12" s="421">
        <v>27602.5</v>
      </c>
      <c r="D12" s="422">
        <f t="shared" si="4"/>
        <v>10074912.5</v>
      </c>
      <c r="E12" s="423">
        <v>-0.7</v>
      </c>
      <c r="F12" s="429">
        <v>0.14499999999999999</v>
      </c>
      <c r="G12" s="424">
        <f t="shared" si="5"/>
        <v>27.722000000000001</v>
      </c>
      <c r="H12" s="425">
        <f t="shared" si="9"/>
        <v>40498025.027125001</v>
      </c>
      <c r="I12" s="426">
        <v>2897.5</v>
      </c>
      <c r="J12" s="427">
        <f t="shared" si="6"/>
        <v>1057587.5</v>
      </c>
      <c r="K12" s="423">
        <v>1.6</v>
      </c>
      <c r="L12" s="429">
        <v>5.5E-2</v>
      </c>
      <c r="M12" s="424">
        <v>29.5</v>
      </c>
      <c r="N12" s="425">
        <f t="shared" si="10"/>
        <v>1715935.71875</v>
      </c>
      <c r="O12" s="425">
        <f t="shared" si="2"/>
        <v>42213960.745875001</v>
      </c>
      <c r="P12" s="425">
        <f t="shared" si="3"/>
        <v>24568909.493850391</v>
      </c>
      <c r="R12" s="425">
        <f t="shared" si="7"/>
        <v>998690.21116085316</v>
      </c>
    </row>
    <row r="13" spans="1:18" x14ac:dyDescent="0.3">
      <c r="A13" s="419">
        <v>9</v>
      </c>
      <c r="B13" s="420">
        <f t="shared" si="8"/>
        <v>2027</v>
      </c>
      <c r="C13" s="421">
        <v>27729.200000000001</v>
      </c>
      <c r="D13" s="422">
        <f t="shared" si="4"/>
        <v>10121158</v>
      </c>
      <c r="E13" s="423">
        <v>-0.7</v>
      </c>
      <c r="F13" s="429">
        <v>0.14499999999999999</v>
      </c>
      <c r="G13" s="424">
        <f t="shared" si="5"/>
        <v>27.722000000000001</v>
      </c>
      <c r="H13" s="425">
        <f t="shared" si="9"/>
        <v>40683917.601020001</v>
      </c>
      <c r="I13" s="426">
        <v>2910.8</v>
      </c>
      <c r="J13" s="427">
        <f t="shared" si="6"/>
        <v>1062442</v>
      </c>
      <c r="K13" s="423">
        <v>1.6</v>
      </c>
      <c r="L13" s="429">
        <v>5.5E-2</v>
      </c>
      <c r="M13" s="424">
        <v>29.5</v>
      </c>
      <c r="N13" s="425">
        <f t="shared" si="10"/>
        <v>1723812.145</v>
      </c>
      <c r="O13" s="425">
        <f t="shared" si="2"/>
        <v>42407729.746020004</v>
      </c>
      <c r="P13" s="425">
        <f t="shared" si="3"/>
        <v>23066995.15524976</v>
      </c>
      <c r="R13" s="425">
        <f t="shared" si="7"/>
        <v>937639.59154185804</v>
      </c>
    </row>
    <row r="14" spans="1:18" x14ac:dyDescent="0.3">
      <c r="A14" s="419">
        <v>10</v>
      </c>
      <c r="B14" s="420">
        <f t="shared" si="8"/>
        <v>2028</v>
      </c>
      <c r="C14" s="421">
        <v>27864.95</v>
      </c>
      <c r="D14" s="422">
        <f>C14*365</f>
        <v>10170706.75</v>
      </c>
      <c r="E14" s="423">
        <v>-0.7</v>
      </c>
      <c r="F14" s="429">
        <v>0.14499999999999999</v>
      </c>
      <c r="G14" s="424">
        <f t="shared" si="5"/>
        <v>27.722000000000001</v>
      </c>
      <c r="H14" s="425">
        <f t="shared" si="9"/>
        <v>40883088.215907499</v>
      </c>
      <c r="I14" s="426">
        <v>2925.05</v>
      </c>
      <c r="J14" s="427">
        <f>I14*365</f>
        <v>1067643.25</v>
      </c>
      <c r="K14" s="423">
        <v>1.6</v>
      </c>
      <c r="L14" s="429">
        <v>5.5E-2</v>
      </c>
      <c r="M14" s="424">
        <v>29.5</v>
      </c>
      <c r="N14" s="425">
        <f t="shared" si="10"/>
        <v>1732251.1731250002</v>
      </c>
      <c r="O14" s="425">
        <f t="shared" si="2"/>
        <v>42615339.389032498</v>
      </c>
      <c r="P14" s="425">
        <f t="shared" si="3"/>
        <v>21663477.612495426</v>
      </c>
      <c r="R14" s="425">
        <f t="shared" si="7"/>
        <v>880588.6576576283</v>
      </c>
    </row>
    <row r="15" spans="1:18" x14ac:dyDescent="0.3">
      <c r="A15" s="419">
        <v>11</v>
      </c>
      <c r="B15" s="420">
        <f t="shared" si="8"/>
        <v>2029</v>
      </c>
      <c r="C15" s="421">
        <v>27991.65</v>
      </c>
      <c r="D15" s="422">
        <f t="shared" ref="D15:D33" si="11">C15*365</f>
        <v>10216952.25</v>
      </c>
      <c r="E15" s="423">
        <v>-0.7</v>
      </c>
      <c r="F15" s="429">
        <v>0.14499999999999999</v>
      </c>
      <c r="G15" s="424">
        <f t="shared" si="5"/>
        <v>27.722000000000001</v>
      </c>
      <c r="H15" s="425">
        <f t="shared" si="9"/>
        <v>41068980.789802499</v>
      </c>
      <c r="I15" s="426">
        <v>2938.35</v>
      </c>
      <c r="J15" s="427">
        <f t="shared" ref="J15:J33" si="12">I15*365</f>
        <v>1072497.75</v>
      </c>
      <c r="K15" s="423">
        <v>1.6</v>
      </c>
      <c r="L15" s="429">
        <v>5.5E-2</v>
      </c>
      <c r="M15" s="424">
        <v>29.5</v>
      </c>
      <c r="N15" s="425">
        <f t="shared" si="10"/>
        <v>1740127.599375</v>
      </c>
      <c r="O15" s="425">
        <f t="shared" si="2"/>
        <v>42809108.389177501</v>
      </c>
      <c r="P15" s="425">
        <f t="shared" si="3"/>
        <v>20338299.015473634</v>
      </c>
      <c r="R15" s="425">
        <f t="shared" si="7"/>
        <v>826722.08725828689</v>
      </c>
    </row>
    <row r="16" spans="1:18" x14ac:dyDescent="0.3">
      <c r="A16" s="419">
        <v>12</v>
      </c>
      <c r="B16" s="420">
        <f t="shared" si="8"/>
        <v>2030</v>
      </c>
      <c r="C16" s="421">
        <v>28127.4</v>
      </c>
      <c r="D16" s="422">
        <f t="shared" si="11"/>
        <v>10266501</v>
      </c>
      <c r="E16" s="423">
        <v>-0.7</v>
      </c>
      <c r="F16" s="429">
        <v>0.14499999999999999</v>
      </c>
      <c r="G16" s="424">
        <f t="shared" si="5"/>
        <v>27.722000000000001</v>
      </c>
      <c r="H16" s="425">
        <f t="shared" si="9"/>
        <v>41268151.404689997</v>
      </c>
      <c r="I16" s="426">
        <v>2952.6</v>
      </c>
      <c r="J16" s="427">
        <f t="shared" si="12"/>
        <v>1077699</v>
      </c>
      <c r="K16" s="423">
        <v>1.6</v>
      </c>
      <c r="L16" s="429">
        <v>5.5E-2</v>
      </c>
      <c r="M16" s="424">
        <v>29.5</v>
      </c>
      <c r="N16" s="425">
        <f t="shared" si="10"/>
        <v>1748566.6274999999</v>
      </c>
      <c r="O16" s="425">
        <f t="shared" si="2"/>
        <v>43016718.032189995</v>
      </c>
      <c r="P16" s="425">
        <f t="shared" si="3"/>
        <v>19099937.253578946</v>
      </c>
      <c r="R16" s="425">
        <f t="shared" si="7"/>
        <v>776384.49413923989</v>
      </c>
    </row>
    <row r="17" spans="1:18" x14ac:dyDescent="0.3">
      <c r="A17" s="419">
        <v>13</v>
      </c>
      <c r="B17" s="420">
        <f t="shared" si="8"/>
        <v>2031</v>
      </c>
      <c r="C17" s="421">
        <v>28254.1</v>
      </c>
      <c r="D17" s="422">
        <f t="shared" si="11"/>
        <v>10312746.5</v>
      </c>
      <c r="E17" s="423">
        <v>-0.7</v>
      </c>
      <c r="F17" s="429">
        <v>0.14499999999999999</v>
      </c>
      <c r="G17" s="424">
        <f t="shared" si="5"/>
        <v>27.722000000000001</v>
      </c>
      <c r="H17" s="425">
        <f t="shared" si="9"/>
        <v>41454043.978584997</v>
      </c>
      <c r="I17" s="426">
        <v>2965.9</v>
      </c>
      <c r="J17" s="427">
        <f t="shared" si="12"/>
        <v>1082553.5</v>
      </c>
      <c r="K17" s="423">
        <v>1.6</v>
      </c>
      <c r="L17" s="429">
        <v>5.5E-2</v>
      </c>
      <c r="M17" s="424">
        <v>29.5</v>
      </c>
      <c r="N17" s="425">
        <f t="shared" si="10"/>
        <v>1756443.05375</v>
      </c>
      <c r="O17" s="425">
        <f t="shared" si="2"/>
        <v>43210487.032334998</v>
      </c>
      <c r="P17" s="425">
        <f t="shared" si="3"/>
        <v>17930815.894367706</v>
      </c>
      <c r="R17" s="425">
        <f t="shared" si="7"/>
        <v>728861.42204702576</v>
      </c>
    </row>
    <row r="18" spans="1:18" x14ac:dyDescent="0.3">
      <c r="A18" s="419">
        <v>14</v>
      </c>
      <c r="B18" s="420">
        <f t="shared" si="8"/>
        <v>2032</v>
      </c>
      <c r="C18" s="421">
        <v>28389.85</v>
      </c>
      <c r="D18" s="422">
        <f t="shared" si="11"/>
        <v>10362295.25</v>
      </c>
      <c r="E18" s="423">
        <v>-0.7</v>
      </c>
      <c r="F18" s="429">
        <v>0.14499999999999999</v>
      </c>
      <c r="G18" s="424">
        <f t="shared" si="5"/>
        <v>27.722000000000001</v>
      </c>
      <c r="H18" s="425">
        <f t="shared" si="9"/>
        <v>41653214.593472496</v>
      </c>
      <c r="I18" s="426">
        <v>2980.15</v>
      </c>
      <c r="J18" s="427">
        <f t="shared" si="12"/>
        <v>1087754.75</v>
      </c>
      <c r="K18" s="423">
        <v>1.6</v>
      </c>
      <c r="L18" s="429">
        <v>5.5E-2</v>
      </c>
      <c r="M18" s="424">
        <v>29.5</v>
      </c>
      <c r="N18" s="425">
        <f t="shared" si="10"/>
        <v>1764882.0818750001</v>
      </c>
      <c r="O18" s="425">
        <f t="shared" si="2"/>
        <v>43418096.675347492</v>
      </c>
      <c r="P18" s="425">
        <f t="shared" si="3"/>
        <v>16838286.462856751</v>
      </c>
      <c r="R18" s="425">
        <f t="shared" si="7"/>
        <v>684451.69971367507</v>
      </c>
    </row>
    <row r="19" spans="1:18" x14ac:dyDescent="0.3">
      <c r="A19" s="419">
        <v>15</v>
      </c>
      <c r="B19" s="420">
        <f t="shared" si="8"/>
        <v>2033</v>
      </c>
      <c r="C19" s="421">
        <v>28516.55</v>
      </c>
      <c r="D19" s="422">
        <f t="shared" si="11"/>
        <v>10408540.75</v>
      </c>
      <c r="E19" s="423">
        <v>-0.7</v>
      </c>
      <c r="F19" s="429">
        <v>0.14499999999999999</v>
      </c>
      <c r="G19" s="424">
        <f t="shared" si="5"/>
        <v>27.722000000000001</v>
      </c>
      <c r="H19" s="425">
        <f t="shared" si="9"/>
        <v>41839107.167367503</v>
      </c>
      <c r="I19" s="426">
        <v>2993.45</v>
      </c>
      <c r="J19" s="427">
        <f t="shared" si="12"/>
        <v>1092609.25</v>
      </c>
      <c r="K19" s="423">
        <v>1.6</v>
      </c>
      <c r="L19" s="429">
        <v>5.5E-2</v>
      </c>
      <c r="M19" s="424">
        <v>29.5</v>
      </c>
      <c r="N19" s="425">
        <f t="shared" si="10"/>
        <v>1772758.5081249999</v>
      </c>
      <c r="O19" s="425">
        <f t="shared" si="2"/>
        <v>43611865.675492503</v>
      </c>
      <c r="P19" s="425">
        <f t="shared" si="3"/>
        <v>15806947.123259507</v>
      </c>
      <c r="R19" s="425">
        <f t="shared" si="7"/>
        <v>642529.26505703398</v>
      </c>
    </row>
    <row r="20" spans="1:18" x14ac:dyDescent="0.3">
      <c r="A20" s="419">
        <v>16</v>
      </c>
      <c r="B20" s="420">
        <f t="shared" si="8"/>
        <v>2034</v>
      </c>
      <c r="C20" s="421">
        <v>28652.3</v>
      </c>
      <c r="D20" s="422">
        <f t="shared" si="11"/>
        <v>10458089.5</v>
      </c>
      <c r="E20" s="423">
        <v>-0.7</v>
      </c>
      <c r="F20" s="429">
        <v>0.14499999999999999</v>
      </c>
      <c r="G20" s="424">
        <f t="shared" si="5"/>
        <v>27.722000000000001</v>
      </c>
      <c r="H20" s="425">
        <f t="shared" si="9"/>
        <v>42038277.782254994</v>
      </c>
      <c r="I20" s="426">
        <v>3007.7</v>
      </c>
      <c r="J20" s="427">
        <f t="shared" si="12"/>
        <v>1097810.5</v>
      </c>
      <c r="K20" s="423">
        <v>1.6</v>
      </c>
      <c r="L20" s="429">
        <v>5.5E-2</v>
      </c>
      <c r="M20" s="424">
        <v>29.5</v>
      </c>
      <c r="N20" s="425">
        <f t="shared" si="10"/>
        <v>1781197.5362499999</v>
      </c>
      <c r="O20" s="425">
        <f t="shared" si="2"/>
        <v>43819475.318504997</v>
      </c>
      <c r="P20" s="425">
        <f t="shared" si="3"/>
        <v>14843172.347671738</v>
      </c>
      <c r="R20" s="425">
        <f t="shared" si="7"/>
        <v>603353.23103793478</v>
      </c>
    </row>
    <row r="21" spans="1:18" x14ac:dyDescent="0.3">
      <c r="A21" s="419">
        <v>17</v>
      </c>
      <c r="B21" s="420">
        <f t="shared" si="8"/>
        <v>2035</v>
      </c>
      <c r="C21" s="421">
        <v>28779</v>
      </c>
      <c r="D21" s="422">
        <f t="shared" si="11"/>
        <v>10504335</v>
      </c>
      <c r="E21" s="423">
        <v>-0.7</v>
      </c>
      <c r="F21" s="429">
        <v>0.14499999999999999</v>
      </c>
      <c r="G21" s="424">
        <f t="shared" si="5"/>
        <v>27.722000000000001</v>
      </c>
      <c r="H21" s="425">
        <f t="shared" si="9"/>
        <v>42224170.356150001</v>
      </c>
      <c r="I21" s="426">
        <v>3021</v>
      </c>
      <c r="J21" s="427">
        <f t="shared" si="12"/>
        <v>1102665</v>
      </c>
      <c r="K21" s="423">
        <v>1.6</v>
      </c>
      <c r="L21" s="429">
        <v>5.5E-2</v>
      </c>
      <c r="M21" s="424">
        <v>29.5</v>
      </c>
      <c r="N21" s="425">
        <f t="shared" si="10"/>
        <v>1789073.9624999999</v>
      </c>
      <c r="O21" s="425">
        <f t="shared" si="2"/>
        <v>44013244.31865</v>
      </c>
      <c r="P21" s="425">
        <f t="shared" si="3"/>
        <v>13933465.992524583</v>
      </c>
      <c r="R21" s="425">
        <f t="shared" si="7"/>
        <v>566374.99917364772</v>
      </c>
    </row>
    <row r="22" spans="1:18" x14ac:dyDescent="0.3">
      <c r="A22" s="419">
        <v>18</v>
      </c>
      <c r="B22" s="420">
        <f t="shared" si="8"/>
        <v>2036</v>
      </c>
      <c r="C22" s="421">
        <v>28914.75</v>
      </c>
      <c r="D22" s="422">
        <f t="shared" si="11"/>
        <v>10553883.75</v>
      </c>
      <c r="E22" s="423">
        <v>-0.7</v>
      </c>
      <c r="F22" s="429">
        <v>0.14499999999999999</v>
      </c>
      <c r="G22" s="424">
        <f t="shared" si="5"/>
        <v>27.722000000000001</v>
      </c>
      <c r="H22" s="425">
        <f t="shared" si="9"/>
        <v>42423340.9710375</v>
      </c>
      <c r="I22" s="426">
        <v>3035.25</v>
      </c>
      <c r="J22" s="427">
        <f t="shared" si="12"/>
        <v>1107866.25</v>
      </c>
      <c r="K22" s="423">
        <v>1.6</v>
      </c>
      <c r="L22" s="429">
        <v>5.5E-2</v>
      </c>
      <c r="M22" s="424">
        <v>29.5</v>
      </c>
      <c r="N22" s="425">
        <f t="shared" si="10"/>
        <v>1797512.9906250001</v>
      </c>
      <c r="O22" s="425">
        <f t="shared" si="2"/>
        <v>44220853.961662501</v>
      </c>
      <c r="P22" s="425">
        <f t="shared" si="3"/>
        <v>13083355.036182931</v>
      </c>
      <c r="R22" s="425">
        <f t="shared" si="7"/>
        <v>531819.23304526089</v>
      </c>
    </row>
    <row r="23" spans="1:18" x14ac:dyDescent="0.3">
      <c r="A23" s="419">
        <v>19</v>
      </c>
      <c r="B23" s="420">
        <f t="shared" si="8"/>
        <v>2037</v>
      </c>
      <c r="C23" s="421">
        <v>29041.45</v>
      </c>
      <c r="D23" s="422">
        <f t="shared" si="11"/>
        <v>10600129.25</v>
      </c>
      <c r="E23" s="423">
        <v>-0.7</v>
      </c>
      <c r="F23" s="429">
        <v>0.14499999999999999</v>
      </c>
      <c r="G23" s="424">
        <f t="shared" si="5"/>
        <v>27.722000000000001</v>
      </c>
      <c r="H23" s="425">
        <f t="shared" si="9"/>
        <v>42609233.5449325</v>
      </c>
      <c r="I23" s="426">
        <v>3048.55</v>
      </c>
      <c r="J23" s="427">
        <f t="shared" si="12"/>
        <v>1112720.75</v>
      </c>
      <c r="K23" s="423">
        <v>1.6</v>
      </c>
      <c r="L23" s="429">
        <v>5.5E-2</v>
      </c>
      <c r="M23" s="424">
        <v>29.5</v>
      </c>
      <c r="N23" s="425">
        <f t="shared" si="10"/>
        <v>1805389.4168750001</v>
      </c>
      <c r="O23" s="425">
        <f t="shared" si="2"/>
        <v>44414622.961807497</v>
      </c>
      <c r="P23" s="425">
        <f t="shared" si="3"/>
        <v>12281013.356474346</v>
      </c>
      <c r="R23" s="425">
        <f t="shared" si="7"/>
        <v>499205.21809551783</v>
      </c>
    </row>
    <row r="24" spans="1:18" x14ac:dyDescent="0.3">
      <c r="A24" s="430">
        <v>20</v>
      </c>
      <c r="B24" s="420">
        <f t="shared" si="8"/>
        <v>2038</v>
      </c>
      <c r="C24" s="421">
        <v>29168.15</v>
      </c>
      <c r="D24" s="422">
        <f t="shared" si="11"/>
        <v>10646374.75</v>
      </c>
      <c r="E24" s="423">
        <v>-0.7</v>
      </c>
      <c r="F24" s="429">
        <v>0.14499999999999999</v>
      </c>
      <c r="G24" s="424">
        <f t="shared" si="5"/>
        <v>27.722000000000001</v>
      </c>
      <c r="H24" s="425">
        <f t="shared" si="9"/>
        <v>42795126.118827499</v>
      </c>
      <c r="I24" s="426">
        <v>3061.85</v>
      </c>
      <c r="J24" s="427">
        <f t="shared" si="12"/>
        <v>1117575.25</v>
      </c>
      <c r="K24" s="423">
        <v>1.6</v>
      </c>
      <c r="L24" s="429">
        <v>5.5E-2</v>
      </c>
      <c r="M24" s="424">
        <v>29.5</v>
      </c>
      <c r="N24" s="425">
        <f t="shared" si="10"/>
        <v>1813265.8431249999</v>
      </c>
      <c r="O24" s="425">
        <f t="shared" si="2"/>
        <v>44608391.9619525</v>
      </c>
      <c r="P24" s="425">
        <f t="shared" si="3"/>
        <v>11527656.16793796</v>
      </c>
      <c r="R24" s="425">
        <f t="shared" si="7"/>
        <v>468582.35101681133</v>
      </c>
    </row>
    <row r="25" spans="1:18" x14ac:dyDescent="0.3">
      <c r="A25" s="430">
        <v>21</v>
      </c>
      <c r="B25" s="420">
        <f t="shared" si="8"/>
        <v>2039</v>
      </c>
      <c r="C25" s="421">
        <v>29303.9</v>
      </c>
      <c r="D25" s="422">
        <f t="shared" si="11"/>
        <v>10695923.5</v>
      </c>
      <c r="E25" s="423">
        <v>-0.7</v>
      </c>
      <c r="F25" s="429">
        <v>0.14499999999999999</v>
      </c>
      <c r="G25" s="424">
        <f t="shared" si="5"/>
        <v>27.722000000000001</v>
      </c>
      <c r="H25" s="425">
        <f t="shared" si="9"/>
        <v>42994296.733714998</v>
      </c>
      <c r="I25" s="426">
        <v>3076.1</v>
      </c>
      <c r="J25" s="427">
        <f t="shared" si="12"/>
        <v>1122776.5</v>
      </c>
      <c r="K25" s="423">
        <v>1.6</v>
      </c>
      <c r="L25" s="429">
        <v>5.5E-2</v>
      </c>
      <c r="M25" s="424">
        <v>29.5</v>
      </c>
      <c r="N25" s="425">
        <f t="shared" si="10"/>
        <v>1821704.8712499999</v>
      </c>
      <c r="O25" s="425">
        <f t="shared" si="2"/>
        <v>44816001.604965001</v>
      </c>
      <c r="P25" s="425">
        <f t="shared" si="3"/>
        <v>10823650.883046536</v>
      </c>
      <c r="R25" s="425">
        <f t="shared" si="7"/>
        <v>439965.56658840372</v>
      </c>
    </row>
    <row r="26" spans="1:18" x14ac:dyDescent="0.3">
      <c r="A26" s="430">
        <v>22</v>
      </c>
      <c r="B26" s="420">
        <f t="shared" si="8"/>
        <v>2040</v>
      </c>
      <c r="C26" s="421">
        <v>29430.6</v>
      </c>
      <c r="D26" s="422">
        <f t="shared" si="11"/>
        <v>10742169</v>
      </c>
      <c r="E26" s="423">
        <v>-0.7</v>
      </c>
      <c r="F26" s="429">
        <v>0.14499999999999999</v>
      </c>
      <c r="G26" s="424">
        <f t="shared" si="5"/>
        <v>27.722000000000001</v>
      </c>
      <c r="H26" s="425">
        <f t="shared" si="9"/>
        <v>43180189.307609998</v>
      </c>
      <c r="I26" s="426">
        <v>3089.4</v>
      </c>
      <c r="J26" s="427">
        <f t="shared" si="12"/>
        <v>1127631</v>
      </c>
      <c r="K26" s="423">
        <v>1.6</v>
      </c>
      <c r="L26" s="429">
        <v>5.5E-2</v>
      </c>
      <c r="M26" s="424">
        <v>29.5</v>
      </c>
      <c r="N26" s="425">
        <f t="shared" si="10"/>
        <v>1829581.2975000001</v>
      </c>
      <c r="O26" s="425">
        <f t="shared" si="2"/>
        <v>45009770.605109997</v>
      </c>
      <c r="P26" s="425">
        <f t="shared" si="3"/>
        <v>10159297.78727706</v>
      </c>
      <c r="R26" s="425">
        <f t="shared" si="7"/>
        <v>412960.58561171638</v>
      </c>
    </row>
    <row r="27" spans="1:18" x14ac:dyDescent="0.3">
      <c r="A27" s="430">
        <v>23</v>
      </c>
      <c r="B27" s="420">
        <f t="shared" si="8"/>
        <v>2041</v>
      </c>
      <c r="C27" s="421">
        <v>29566.35</v>
      </c>
      <c r="D27" s="422">
        <f t="shared" si="11"/>
        <v>10791717.75</v>
      </c>
      <c r="E27" s="423">
        <v>-0.7</v>
      </c>
      <c r="F27" s="429">
        <v>0.14499999999999999</v>
      </c>
      <c r="G27" s="424">
        <f t="shared" si="5"/>
        <v>27.722000000000001</v>
      </c>
      <c r="H27" s="425">
        <f t="shared" si="9"/>
        <v>43379359.922497503</v>
      </c>
      <c r="I27" s="426">
        <v>3103.65</v>
      </c>
      <c r="J27" s="427">
        <f t="shared" si="12"/>
        <v>1132832.25</v>
      </c>
      <c r="K27" s="423">
        <v>1.6</v>
      </c>
      <c r="L27" s="429">
        <v>5.5E-2</v>
      </c>
      <c r="M27" s="424">
        <v>29.5</v>
      </c>
      <c r="N27" s="425">
        <f t="shared" si="10"/>
        <v>1838020.3256250001</v>
      </c>
      <c r="O27" s="425">
        <f t="shared" si="2"/>
        <v>45217380.248122506</v>
      </c>
      <c r="P27" s="425">
        <f t="shared" si="3"/>
        <v>9538465.436376797</v>
      </c>
      <c r="R27" s="425">
        <f t="shared" si="7"/>
        <v>387724.65921574569</v>
      </c>
    </row>
    <row r="28" spans="1:18" x14ac:dyDescent="0.3">
      <c r="A28" s="430">
        <v>24</v>
      </c>
      <c r="B28" s="420">
        <f t="shared" si="8"/>
        <v>2042</v>
      </c>
      <c r="C28" s="421">
        <v>29693.05</v>
      </c>
      <c r="D28" s="422">
        <f t="shared" si="11"/>
        <v>10837963.25</v>
      </c>
      <c r="E28" s="423">
        <v>-0.7</v>
      </c>
      <c r="F28" s="429">
        <v>0.14499999999999999</v>
      </c>
      <c r="G28" s="424">
        <f t="shared" si="5"/>
        <v>27.722000000000001</v>
      </c>
      <c r="H28" s="425">
        <f t="shared" si="9"/>
        <v>43565252.496392496</v>
      </c>
      <c r="I28" s="426">
        <v>3116.95</v>
      </c>
      <c r="J28" s="427">
        <f t="shared" si="12"/>
        <v>1137686.75</v>
      </c>
      <c r="K28" s="423">
        <v>1.6</v>
      </c>
      <c r="L28" s="429">
        <v>5.5E-2</v>
      </c>
      <c r="M28" s="424">
        <v>29.5</v>
      </c>
      <c r="N28" s="425">
        <f t="shared" si="10"/>
        <v>1845896.7518749998</v>
      </c>
      <c r="O28" s="425">
        <f t="shared" si="2"/>
        <v>45411149.248267494</v>
      </c>
      <c r="P28" s="425">
        <f t="shared" si="3"/>
        <v>8952654.582286261</v>
      </c>
      <c r="R28" s="425">
        <f t="shared" si="7"/>
        <v>363912.30540661822</v>
      </c>
    </row>
    <row r="29" spans="1:18" x14ac:dyDescent="0.3">
      <c r="A29" s="430">
        <v>25</v>
      </c>
      <c r="B29" s="420">
        <f t="shared" si="8"/>
        <v>2043</v>
      </c>
      <c r="C29" s="421">
        <v>29828.799999999999</v>
      </c>
      <c r="D29" s="422">
        <f t="shared" si="11"/>
        <v>10887512</v>
      </c>
      <c r="E29" s="423">
        <v>-0.7</v>
      </c>
      <c r="F29" s="429">
        <v>0.14499999999999999</v>
      </c>
      <c r="G29" s="424">
        <f t="shared" si="5"/>
        <v>27.722000000000001</v>
      </c>
      <c r="H29" s="425">
        <f t="shared" si="9"/>
        <v>43764423.111280002</v>
      </c>
      <c r="I29" s="426">
        <v>3131.2</v>
      </c>
      <c r="J29" s="427">
        <f t="shared" si="12"/>
        <v>1142888</v>
      </c>
      <c r="K29" s="423">
        <v>1.6</v>
      </c>
      <c r="L29" s="429">
        <v>5.5E-2</v>
      </c>
      <c r="M29" s="424">
        <v>29.5</v>
      </c>
      <c r="N29" s="425">
        <f t="shared" si="10"/>
        <v>1854335.78</v>
      </c>
      <c r="O29" s="425">
        <f t="shared" si="2"/>
        <v>45618758.891280003</v>
      </c>
      <c r="P29" s="425">
        <f t="shared" si="3"/>
        <v>8405218.8053036947</v>
      </c>
      <c r="R29" s="425">
        <f t="shared" si="7"/>
        <v>341659.84231506061</v>
      </c>
    </row>
    <row r="30" spans="1:18" x14ac:dyDescent="0.3">
      <c r="A30" s="430">
        <v>26</v>
      </c>
      <c r="B30" s="420">
        <f t="shared" si="8"/>
        <v>2044</v>
      </c>
      <c r="C30" s="421">
        <v>29955.5</v>
      </c>
      <c r="D30" s="422">
        <f t="shared" si="11"/>
        <v>10933757.5</v>
      </c>
      <c r="E30" s="423">
        <v>-0.7</v>
      </c>
      <c r="F30" s="429">
        <v>0.14499999999999999</v>
      </c>
      <c r="G30" s="424">
        <f t="shared" si="5"/>
        <v>27.722000000000001</v>
      </c>
      <c r="H30" s="425">
        <f t="shared" si="9"/>
        <v>43950315.685175002</v>
      </c>
      <c r="I30" s="426">
        <v>3144.5</v>
      </c>
      <c r="J30" s="427">
        <f t="shared" si="12"/>
        <v>1147742.5</v>
      </c>
      <c r="K30" s="423">
        <v>1.6</v>
      </c>
      <c r="L30" s="429">
        <v>5.5E-2</v>
      </c>
      <c r="M30" s="424">
        <v>29.5</v>
      </c>
      <c r="N30" s="425">
        <f t="shared" si="10"/>
        <v>1862212.20625</v>
      </c>
      <c r="O30" s="425">
        <f t="shared" si="2"/>
        <v>45812527.891424999</v>
      </c>
      <c r="P30" s="425">
        <f t="shared" si="3"/>
        <v>7888710.826364222</v>
      </c>
      <c r="R30" s="425">
        <f t="shared" si="7"/>
        <v>320664.54894713807</v>
      </c>
    </row>
    <row r="31" spans="1:18" x14ac:dyDescent="0.3">
      <c r="A31" s="430">
        <v>27</v>
      </c>
      <c r="B31" s="420">
        <f t="shared" si="8"/>
        <v>2045</v>
      </c>
      <c r="C31" s="421">
        <v>30091.25</v>
      </c>
      <c r="D31" s="422">
        <f t="shared" si="11"/>
        <v>10983306.25</v>
      </c>
      <c r="E31" s="423">
        <v>-0.7</v>
      </c>
      <c r="F31" s="429">
        <v>0.14499999999999999</v>
      </c>
      <c r="G31" s="424">
        <f t="shared" si="5"/>
        <v>27.722000000000001</v>
      </c>
      <c r="H31" s="425">
        <f t="shared" si="9"/>
        <v>44149486.3000625</v>
      </c>
      <c r="I31" s="426">
        <v>3158.75</v>
      </c>
      <c r="J31" s="427">
        <f t="shared" si="12"/>
        <v>1152943.75</v>
      </c>
      <c r="K31" s="423">
        <v>1.6</v>
      </c>
      <c r="L31" s="429">
        <v>5.5E-2</v>
      </c>
      <c r="M31" s="424">
        <v>29.5</v>
      </c>
      <c r="N31" s="425">
        <f t="shared" si="10"/>
        <v>1870651.234375</v>
      </c>
      <c r="O31" s="425">
        <f t="shared" si="2"/>
        <v>46020137.5344375</v>
      </c>
      <c r="P31" s="425">
        <f t="shared" si="3"/>
        <v>7406037.6366324173</v>
      </c>
      <c r="R31" s="425">
        <f t="shared" si="7"/>
        <v>301044.59023893432</v>
      </c>
    </row>
    <row r="32" spans="1:18" x14ac:dyDescent="0.3">
      <c r="A32" s="430">
        <v>28</v>
      </c>
      <c r="B32" s="420">
        <f t="shared" si="8"/>
        <v>2046</v>
      </c>
      <c r="C32" s="421">
        <v>30217.95</v>
      </c>
      <c r="D32" s="422">
        <f t="shared" si="11"/>
        <v>11029551.75</v>
      </c>
      <c r="E32" s="423">
        <v>-0.7</v>
      </c>
      <c r="F32" s="429">
        <v>0.14499999999999999</v>
      </c>
      <c r="G32" s="424">
        <f t="shared" si="5"/>
        <v>27.722000000000001</v>
      </c>
      <c r="H32" s="425">
        <f t="shared" si="9"/>
        <v>44335378.8739575</v>
      </c>
      <c r="I32" s="426">
        <v>3172.05</v>
      </c>
      <c r="J32" s="427">
        <f t="shared" si="12"/>
        <v>1157798.25</v>
      </c>
      <c r="K32" s="423">
        <v>1.6</v>
      </c>
      <c r="L32" s="429">
        <v>5.5E-2</v>
      </c>
      <c r="M32" s="424">
        <v>29.5</v>
      </c>
      <c r="N32" s="425">
        <f t="shared" si="10"/>
        <v>1878527.660625</v>
      </c>
      <c r="O32" s="425">
        <f t="shared" si="2"/>
        <v>46213906.534582503</v>
      </c>
      <c r="P32" s="425">
        <f t="shared" si="3"/>
        <v>6950673.7878478384</v>
      </c>
      <c r="R32" s="425">
        <f t="shared" si="7"/>
        <v>282534.71626949671</v>
      </c>
    </row>
    <row r="33" spans="1:18" x14ac:dyDescent="0.3">
      <c r="A33" s="430">
        <v>29</v>
      </c>
      <c r="B33" s="420">
        <f t="shared" si="8"/>
        <v>2047</v>
      </c>
      <c r="C33" s="421">
        <v>30353.7</v>
      </c>
      <c r="D33" s="422">
        <f t="shared" si="11"/>
        <v>11079100.5</v>
      </c>
      <c r="E33" s="423">
        <v>-0.7</v>
      </c>
      <c r="F33" s="429">
        <v>0.14499999999999999</v>
      </c>
      <c r="G33" s="424">
        <f t="shared" si="5"/>
        <v>27.722000000000001</v>
      </c>
      <c r="H33" s="425">
        <f t="shared" si="9"/>
        <v>44534549.488844998</v>
      </c>
      <c r="I33" s="426">
        <v>3186.3</v>
      </c>
      <c r="J33" s="427">
        <f t="shared" si="12"/>
        <v>1162999.5</v>
      </c>
      <c r="K33" s="423">
        <v>1.6</v>
      </c>
      <c r="L33" s="429">
        <v>5.5E-2</v>
      </c>
      <c r="M33" s="424">
        <v>29.5</v>
      </c>
      <c r="N33" s="425">
        <f t="shared" si="10"/>
        <v>1886966.6887500002</v>
      </c>
      <c r="O33" s="425">
        <f t="shared" si="2"/>
        <v>46421516.177594997</v>
      </c>
      <c r="P33" s="425">
        <f t="shared" si="3"/>
        <v>6525139.0069895145</v>
      </c>
      <c r="R33" s="425">
        <f t="shared" si="7"/>
        <v>265237.35025257774</v>
      </c>
    </row>
    <row r="34" spans="1:18" x14ac:dyDescent="0.3">
      <c r="A34" s="430">
        <f>1+A33</f>
        <v>30</v>
      </c>
      <c r="B34" s="420">
        <f t="shared" si="8"/>
        <v>2048</v>
      </c>
      <c r="C34" s="421">
        <v>30480.400000000001</v>
      </c>
      <c r="D34" s="422">
        <f t="shared" ref="D34:D35" si="13">C34*365</f>
        <v>11125346</v>
      </c>
      <c r="E34" s="423">
        <v>-0.7</v>
      </c>
      <c r="F34" s="429">
        <v>0.14499999999999999</v>
      </c>
      <c r="G34" s="424">
        <f t="shared" si="5"/>
        <v>27.722000000000001</v>
      </c>
      <c r="H34" s="425">
        <f t="shared" si="9"/>
        <v>44720442.062739998</v>
      </c>
      <c r="I34" s="426">
        <v>3199.6</v>
      </c>
      <c r="J34" s="427">
        <f t="shared" ref="J34:J35" si="14">I34*365</f>
        <v>1167854</v>
      </c>
      <c r="K34" s="423">
        <v>1.6</v>
      </c>
      <c r="L34" s="429">
        <v>5.5E-2</v>
      </c>
      <c r="M34" s="424">
        <v>29.5</v>
      </c>
      <c r="N34" s="425">
        <f t="shared" si="10"/>
        <v>1894843.115</v>
      </c>
      <c r="O34" s="425">
        <f t="shared" si="2"/>
        <v>46615285.17774</v>
      </c>
      <c r="P34" s="425">
        <f t="shared" si="3"/>
        <v>6123715.6291387845</v>
      </c>
      <c r="R34" s="425">
        <f t="shared" si="7"/>
        <v>248920.07747777289</v>
      </c>
    </row>
    <row r="35" spans="1:18" x14ac:dyDescent="0.3">
      <c r="A35" s="430">
        <f>1+A34</f>
        <v>31</v>
      </c>
      <c r="B35" s="431">
        <f t="shared" si="8"/>
        <v>2049</v>
      </c>
      <c r="C35" s="421">
        <v>30480.400000000001</v>
      </c>
      <c r="D35" s="427">
        <f t="shared" si="13"/>
        <v>11125346</v>
      </c>
      <c r="E35" s="423">
        <v>-0.7</v>
      </c>
      <c r="F35" s="429">
        <v>0.14499999999999999</v>
      </c>
      <c r="G35" s="424">
        <f t="shared" si="5"/>
        <v>27.722000000000001</v>
      </c>
      <c r="H35" s="425">
        <f t="shared" si="9"/>
        <v>44720442.062739998</v>
      </c>
      <c r="I35" s="426">
        <v>3199.6</v>
      </c>
      <c r="J35" s="427">
        <f t="shared" si="14"/>
        <v>1167854</v>
      </c>
      <c r="K35" s="423">
        <v>1.6</v>
      </c>
      <c r="L35" s="429">
        <v>5.5E-2</v>
      </c>
      <c r="M35" s="424">
        <v>29.5</v>
      </c>
      <c r="N35" s="425">
        <f t="shared" si="10"/>
        <v>1894843.115</v>
      </c>
      <c r="O35" s="425">
        <f t="shared" si="2"/>
        <v>46615285.17774</v>
      </c>
      <c r="P35" s="425">
        <f t="shared" si="3"/>
        <v>5723098.7188212927</v>
      </c>
      <c r="R35" s="425">
        <f t="shared" si="7"/>
        <v>232635.5864278251</v>
      </c>
    </row>
    <row r="36" spans="1:18" x14ac:dyDescent="0.3">
      <c r="A36" s="568" t="s">
        <v>11</v>
      </c>
      <c r="B36" s="569"/>
      <c r="C36" s="569"/>
      <c r="D36" s="569"/>
      <c r="E36" s="569"/>
      <c r="F36" s="569"/>
      <c r="G36" s="569"/>
      <c r="H36" s="569"/>
      <c r="I36" s="569"/>
      <c r="J36" s="569"/>
      <c r="K36" s="569"/>
      <c r="L36" s="569"/>
      <c r="M36" s="569"/>
      <c r="N36" s="569"/>
      <c r="O36" s="570"/>
      <c r="P36" s="432">
        <f>SUM(P4:P33)</f>
        <v>327791623.97086918</v>
      </c>
      <c r="R36" s="432">
        <f>SUM(R4:R33)</f>
        <v>13324249.749145981</v>
      </c>
    </row>
    <row r="38" spans="1:18" ht="26.25" customHeight="1" x14ac:dyDescent="0.25">
      <c r="A38" s="566" t="s">
        <v>174</v>
      </c>
      <c r="B38" s="566"/>
      <c r="C38" s="566"/>
      <c r="D38" s="566"/>
      <c r="E38" s="566"/>
      <c r="I38" s="37"/>
    </row>
    <row r="41" spans="1:18" x14ac:dyDescent="0.25">
      <c r="A41" s="567" t="s">
        <v>175</v>
      </c>
      <c r="B41" s="567"/>
      <c r="C41" s="567"/>
      <c r="D41" s="567"/>
      <c r="E41" s="567"/>
      <c r="F41" s="567"/>
      <c r="G41" s="567"/>
      <c r="H41" s="567"/>
      <c r="I41" s="567"/>
      <c r="J41" s="567"/>
      <c r="K41" s="567"/>
      <c r="L41" s="567"/>
      <c r="M41" s="567"/>
      <c r="N41" s="567"/>
      <c r="O41" s="567"/>
      <c r="P41" s="567"/>
      <c r="R41" s="191"/>
    </row>
    <row r="42" spans="1:18" x14ac:dyDescent="0.3">
      <c r="A42" s="415" t="s">
        <v>145</v>
      </c>
      <c r="B42" s="415" t="s">
        <v>146</v>
      </c>
      <c r="C42" s="415" t="s">
        <v>147</v>
      </c>
      <c r="D42" s="415" t="s">
        <v>148</v>
      </c>
      <c r="E42" s="415" t="s">
        <v>149</v>
      </c>
      <c r="F42" s="415" t="s">
        <v>150</v>
      </c>
      <c r="G42" s="415" t="s">
        <v>151</v>
      </c>
      <c r="H42" s="415" t="s">
        <v>152</v>
      </c>
      <c r="I42" s="415" t="s">
        <v>153</v>
      </c>
      <c r="J42" s="415" t="s">
        <v>154</v>
      </c>
      <c r="K42" s="415" t="s">
        <v>155</v>
      </c>
      <c r="L42" s="415" t="s">
        <v>88</v>
      </c>
      <c r="M42" s="415" t="s">
        <v>156</v>
      </c>
      <c r="N42" s="415" t="s">
        <v>157</v>
      </c>
      <c r="O42" s="415" t="s">
        <v>158</v>
      </c>
      <c r="P42" s="415" t="s">
        <v>159</v>
      </c>
      <c r="R42" s="415" t="s">
        <v>160</v>
      </c>
    </row>
    <row r="43" spans="1:18" ht="100.8" x14ac:dyDescent="0.3">
      <c r="A43" s="416" t="s">
        <v>29</v>
      </c>
      <c r="B43" s="417" t="s">
        <v>30</v>
      </c>
      <c r="C43" s="433" t="s">
        <v>161</v>
      </c>
      <c r="D43" s="417" t="s">
        <v>162</v>
      </c>
      <c r="E43" s="417" t="s">
        <v>163</v>
      </c>
      <c r="F43" s="417" t="s">
        <v>164</v>
      </c>
      <c r="G43" s="417" t="s">
        <v>165</v>
      </c>
      <c r="H43" s="417" t="s">
        <v>166</v>
      </c>
      <c r="I43" s="417" t="s">
        <v>167</v>
      </c>
      <c r="J43" s="417" t="s">
        <v>168</v>
      </c>
      <c r="K43" s="417" t="s">
        <v>169</v>
      </c>
      <c r="L43" s="417" t="s">
        <v>164</v>
      </c>
      <c r="M43" s="417" t="s">
        <v>170</v>
      </c>
      <c r="N43" s="417" t="s">
        <v>171</v>
      </c>
      <c r="O43" s="417" t="s">
        <v>172</v>
      </c>
      <c r="P43" s="416" t="s">
        <v>32</v>
      </c>
      <c r="R43" s="417" t="s">
        <v>173</v>
      </c>
    </row>
    <row r="44" spans="1:18" x14ac:dyDescent="0.3">
      <c r="A44" s="419">
        <v>0</v>
      </c>
      <c r="B44" s="420">
        <v>2018</v>
      </c>
      <c r="C44" s="421">
        <v>3451</v>
      </c>
      <c r="D44" s="422">
        <f>C44*365</f>
        <v>1259615</v>
      </c>
      <c r="E44" s="423">
        <v>0</v>
      </c>
      <c r="F44" s="423">
        <v>0</v>
      </c>
      <c r="G44" s="424">
        <f>1.67*16.6</f>
        <v>27.722000000000001</v>
      </c>
      <c r="H44" s="425">
        <f t="shared" ref="H44:H75" si="15">D44*F44*G44</f>
        <v>0</v>
      </c>
      <c r="I44" s="426">
        <v>609</v>
      </c>
      <c r="J44" s="427">
        <f>I44*365</f>
        <v>222285</v>
      </c>
      <c r="K44" s="423">
        <v>0</v>
      </c>
      <c r="L44" s="423">
        <v>0</v>
      </c>
      <c r="M44" s="424">
        <v>29.5</v>
      </c>
      <c r="N44" s="425">
        <f t="shared" ref="N44:N75" si="16">J44*L44*M44</f>
        <v>0</v>
      </c>
      <c r="O44" s="425">
        <f t="shared" ref="O44:O75" si="17">H44+N44</f>
        <v>0</v>
      </c>
      <c r="P44" s="425">
        <f t="shared" ref="P44:P75" si="18">O44/(1+0.07)^A44</f>
        <v>0</v>
      </c>
      <c r="R44" s="425">
        <f>N44/(1+0.07)^A44</f>
        <v>0</v>
      </c>
    </row>
    <row r="45" spans="1:18" x14ac:dyDescent="0.3">
      <c r="A45" s="419">
        <v>1</v>
      </c>
      <c r="B45" s="420">
        <f>1+B44</f>
        <v>2019</v>
      </c>
      <c r="C45" s="421">
        <v>3468</v>
      </c>
      <c r="D45" s="422">
        <f t="shared" ref="D45:D53" si="19">C45*365</f>
        <v>1265820</v>
      </c>
      <c r="E45" s="423">
        <v>0</v>
      </c>
      <c r="F45" s="423">
        <v>0</v>
      </c>
      <c r="G45" s="424">
        <f t="shared" ref="G45:G75" si="20">1.67*16.6</f>
        <v>27.722000000000001</v>
      </c>
      <c r="H45" s="425">
        <f t="shared" si="15"/>
        <v>0</v>
      </c>
      <c r="I45" s="426">
        <v>612</v>
      </c>
      <c r="J45" s="427">
        <f t="shared" ref="J45:J53" si="21">I45*365</f>
        <v>223380</v>
      </c>
      <c r="K45" s="423">
        <v>0</v>
      </c>
      <c r="L45" s="423">
        <v>0</v>
      </c>
      <c r="M45" s="424">
        <v>29.5</v>
      </c>
      <c r="N45" s="425">
        <f t="shared" si="16"/>
        <v>0</v>
      </c>
      <c r="O45" s="425">
        <f t="shared" si="17"/>
        <v>0</v>
      </c>
      <c r="P45" s="425">
        <f t="shared" si="18"/>
        <v>0</v>
      </c>
      <c r="R45" s="425">
        <f t="shared" ref="R45:R75" si="22">N45/(1+0.07)^A45</f>
        <v>0</v>
      </c>
    </row>
    <row r="46" spans="1:18" x14ac:dyDescent="0.3">
      <c r="A46" s="419">
        <v>2</v>
      </c>
      <c r="B46" s="420">
        <f t="shared" ref="B46:B75" si="23">1+B45</f>
        <v>2020</v>
      </c>
      <c r="C46" s="421">
        <v>3485</v>
      </c>
      <c r="D46" s="422">
        <f t="shared" si="19"/>
        <v>1272025</v>
      </c>
      <c r="E46" s="423">
        <v>0</v>
      </c>
      <c r="F46" s="423">
        <v>0</v>
      </c>
      <c r="G46" s="424">
        <f t="shared" si="20"/>
        <v>27.722000000000001</v>
      </c>
      <c r="H46" s="425">
        <f t="shared" si="15"/>
        <v>0</v>
      </c>
      <c r="I46" s="426">
        <v>615</v>
      </c>
      <c r="J46" s="427">
        <f t="shared" si="21"/>
        <v>224475</v>
      </c>
      <c r="K46" s="423">
        <v>0</v>
      </c>
      <c r="L46" s="423">
        <v>0</v>
      </c>
      <c r="M46" s="424">
        <v>29.5</v>
      </c>
      <c r="N46" s="425">
        <f t="shared" si="16"/>
        <v>0</v>
      </c>
      <c r="O46" s="425">
        <f t="shared" si="17"/>
        <v>0</v>
      </c>
      <c r="P46" s="425">
        <f t="shared" si="18"/>
        <v>0</v>
      </c>
      <c r="R46" s="425">
        <f t="shared" si="22"/>
        <v>0</v>
      </c>
    </row>
    <row r="47" spans="1:18" x14ac:dyDescent="0.3">
      <c r="A47" s="419">
        <v>3</v>
      </c>
      <c r="B47" s="420">
        <f t="shared" si="23"/>
        <v>2021</v>
      </c>
      <c r="C47" s="421">
        <v>3502</v>
      </c>
      <c r="D47" s="422">
        <f t="shared" si="19"/>
        <v>1278230</v>
      </c>
      <c r="E47" s="423">
        <v>0</v>
      </c>
      <c r="F47" s="423">
        <v>0</v>
      </c>
      <c r="G47" s="424">
        <f t="shared" si="20"/>
        <v>27.722000000000001</v>
      </c>
      <c r="H47" s="425">
        <f t="shared" si="15"/>
        <v>0</v>
      </c>
      <c r="I47" s="426">
        <v>618</v>
      </c>
      <c r="J47" s="427">
        <f t="shared" si="21"/>
        <v>225570</v>
      </c>
      <c r="K47" s="423">
        <v>0</v>
      </c>
      <c r="L47" s="423">
        <v>0</v>
      </c>
      <c r="M47" s="424">
        <v>29.5</v>
      </c>
      <c r="N47" s="425">
        <f t="shared" si="16"/>
        <v>0</v>
      </c>
      <c r="O47" s="425">
        <f t="shared" si="17"/>
        <v>0</v>
      </c>
      <c r="P47" s="425">
        <f t="shared" si="18"/>
        <v>0</v>
      </c>
      <c r="R47" s="425">
        <f t="shared" si="22"/>
        <v>0</v>
      </c>
    </row>
    <row r="48" spans="1:18" x14ac:dyDescent="0.3">
      <c r="A48" s="419">
        <v>4</v>
      </c>
      <c r="B48" s="420">
        <f t="shared" si="23"/>
        <v>2022</v>
      </c>
      <c r="C48" s="421">
        <v>3519</v>
      </c>
      <c r="D48" s="422">
        <f t="shared" si="19"/>
        <v>1284435</v>
      </c>
      <c r="E48" s="423">
        <v>0</v>
      </c>
      <c r="F48" s="423">
        <v>0</v>
      </c>
      <c r="G48" s="424">
        <f t="shared" si="20"/>
        <v>27.722000000000001</v>
      </c>
      <c r="H48" s="425">
        <f t="shared" si="15"/>
        <v>0</v>
      </c>
      <c r="I48" s="426">
        <v>621</v>
      </c>
      <c r="J48" s="427">
        <f t="shared" si="21"/>
        <v>226665</v>
      </c>
      <c r="K48" s="423">
        <v>0</v>
      </c>
      <c r="L48" s="423">
        <v>0</v>
      </c>
      <c r="M48" s="424">
        <v>29.5</v>
      </c>
      <c r="N48" s="425">
        <f t="shared" si="16"/>
        <v>0</v>
      </c>
      <c r="O48" s="425">
        <f t="shared" si="17"/>
        <v>0</v>
      </c>
      <c r="P48" s="425">
        <f t="shared" si="18"/>
        <v>0</v>
      </c>
      <c r="R48" s="425">
        <f t="shared" si="22"/>
        <v>0</v>
      </c>
    </row>
    <row r="49" spans="1:18" x14ac:dyDescent="0.3">
      <c r="A49" s="419">
        <v>5</v>
      </c>
      <c r="B49" s="420">
        <f t="shared" si="23"/>
        <v>2023</v>
      </c>
      <c r="C49" s="421">
        <v>3536</v>
      </c>
      <c r="D49" s="422">
        <f t="shared" si="19"/>
        <v>1290640</v>
      </c>
      <c r="E49" s="423">
        <v>0</v>
      </c>
      <c r="F49" s="423">
        <v>0</v>
      </c>
      <c r="G49" s="424">
        <f t="shared" si="20"/>
        <v>27.722000000000001</v>
      </c>
      <c r="H49" s="425">
        <f t="shared" si="15"/>
        <v>0</v>
      </c>
      <c r="I49" s="426">
        <v>624</v>
      </c>
      <c r="J49" s="427">
        <f t="shared" si="21"/>
        <v>227760</v>
      </c>
      <c r="K49" s="423">
        <v>0</v>
      </c>
      <c r="L49" s="423">
        <v>0</v>
      </c>
      <c r="M49" s="424">
        <v>29.5</v>
      </c>
      <c r="N49" s="425">
        <f t="shared" si="16"/>
        <v>0</v>
      </c>
      <c r="O49" s="425">
        <f t="shared" si="17"/>
        <v>0</v>
      </c>
      <c r="P49" s="425">
        <f t="shared" si="18"/>
        <v>0</v>
      </c>
      <c r="R49" s="425">
        <f t="shared" si="22"/>
        <v>0</v>
      </c>
    </row>
    <row r="50" spans="1:18" x14ac:dyDescent="0.3">
      <c r="A50" s="419">
        <v>6</v>
      </c>
      <c r="B50" s="420">
        <f t="shared" si="23"/>
        <v>2024</v>
      </c>
      <c r="C50" s="421">
        <v>3553</v>
      </c>
      <c r="D50" s="422">
        <f t="shared" si="19"/>
        <v>1296845</v>
      </c>
      <c r="E50" s="423">
        <v>0</v>
      </c>
      <c r="F50" s="423">
        <v>0</v>
      </c>
      <c r="G50" s="424">
        <f t="shared" si="20"/>
        <v>27.722000000000001</v>
      </c>
      <c r="H50" s="425">
        <f t="shared" si="15"/>
        <v>0</v>
      </c>
      <c r="I50" s="426">
        <v>627</v>
      </c>
      <c r="J50" s="427">
        <f t="shared" si="21"/>
        <v>228855</v>
      </c>
      <c r="K50" s="423">
        <v>0</v>
      </c>
      <c r="L50" s="423">
        <v>0</v>
      </c>
      <c r="M50" s="424">
        <v>29.5</v>
      </c>
      <c r="N50" s="425">
        <f t="shared" si="16"/>
        <v>0</v>
      </c>
      <c r="O50" s="425">
        <f t="shared" si="17"/>
        <v>0</v>
      </c>
      <c r="P50" s="425">
        <f t="shared" si="18"/>
        <v>0</v>
      </c>
      <c r="R50" s="425">
        <f t="shared" si="22"/>
        <v>0</v>
      </c>
    </row>
    <row r="51" spans="1:18" x14ac:dyDescent="0.3">
      <c r="A51" s="419">
        <v>7</v>
      </c>
      <c r="B51" s="420">
        <f t="shared" si="23"/>
        <v>2025</v>
      </c>
      <c r="C51" s="421">
        <v>3570</v>
      </c>
      <c r="D51" s="422">
        <f t="shared" si="19"/>
        <v>1303050</v>
      </c>
      <c r="E51" s="423">
        <v>1.6</v>
      </c>
      <c r="F51" s="429">
        <v>5.5E-2</v>
      </c>
      <c r="G51" s="424">
        <f t="shared" si="20"/>
        <v>27.722000000000001</v>
      </c>
      <c r="H51" s="425">
        <f t="shared" si="15"/>
        <v>1986773.3655000001</v>
      </c>
      <c r="I51" s="426">
        <v>630</v>
      </c>
      <c r="J51" s="427">
        <f t="shared" si="21"/>
        <v>229950</v>
      </c>
      <c r="K51" s="423">
        <v>1.6</v>
      </c>
      <c r="L51" s="429">
        <v>5.5E-2</v>
      </c>
      <c r="M51" s="424">
        <v>29.5</v>
      </c>
      <c r="N51" s="425">
        <f t="shared" si="16"/>
        <v>373093.875</v>
      </c>
      <c r="O51" s="425">
        <f t="shared" si="17"/>
        <v>2359867.2405000003</v>
      </c>
      <c r="P51" s="425">
        <f t="shared" si="18"/>
        <v>1469606.7149032776</v>
      </c>
      <c r="R51" s="425">
        <f t="shared" si="22"/>
        <v>232344.11435497191</v>
      </c>
    </row>
    <row r="52" spans="1:18" x14ac:dyDescent="0.3">
      <c r="A52" s="419">
        <v>8</v>
      </c>
      <c r="B52" s="420">
        <f t="shared" si="23"/>
        <v>2026</v>
      </c>
      <c r="C52" s="421">
        <v>3587</v>
      </c>
      <c r="D52" s="422">
        <f t="shared" si="19"/>
        <v>1309255</v>
      </c>
      <c r="E52" s="423">
        <v>1.6</v>
      </c>
      <c r="F52" s="429">
        <v>5.5E-2</v>
      </c>
      <c r="G52" s="424">
        <f t="shared" si="20"/>
        <v>27.722000000000001</v>
      </c>
      <c r="H52" s="425">
        <f t="shared" si="15"/>
        <v>1996234.19105</v>
      </c>
      <c r="I52" s="426">
        <v>633</v>
      </c>
      <c r="J52" s="427">
        <f t="shared" si="21"/>
        <v>231045</v>
      </c>
      <c r="K52" s="423">
        <v>1.6</v>
      </c>
      <c r="L52" s="429">
        <v>5.5E-2</v>
      </c>
      <c r="M52" s="424">
        <v>29.5</v>
      </c>
      <c r="N52" s="425">
        <f t="shared" si="16"/>
        <v>374870.51250000001</v>
      </c>
      <c r="O52" s="425">
        <f t="shared" si="17"/>
        <v>2371104.7035500002</v>
      </c>
      <c r="P52" s="425">
        <f t="shared" si="18"/>
        <v>1380004.5253430866</v>
      </c>
      <c r="R52" s="425">
        <f t="shared" si="22"/>
        <v>218178.05130796204</v>
      </c>
    </row>
    <row r="53" spans="1:18" x14ac:dyDescent="0.3">
      <c r="A53" s="419">
        <v>9</v>
      </c>
      <c r="B53" s="420">
        <f t="shared" si="23"/>
        <v>2027</v>
      </c>
      <c r="C53" s="421">
        <v>3604</v>
      </c>
      <c r="D53" s="422">
        <f t="shared" si="19"/>
        <v>1315460</v>
      </c>
      <c r="E53" s="423">
        <v>1.6</v>
      </c>
      <c r="F53" s="429">
        <v>5.5E-2</v>
      </c>
      <c r="G53" s="424">
        <f t="shared" si="20"/>
        <v>27.722000000000001</v>
      </c>
      <c r="H53" s="425">
        <f t="shared" si="15"/>
        <v>2005695.0166000002</v>
      </c>
      <c r="I53" s="426">
        <v>636</v>
      </c>
      <c r="J53" s="427">
        <f t="shared" si="21"/>
        <v>232140</v>
      </c>
      <c r="K53" s="423">
        <v>1.6</v>
      </c>
      <c r="L53" s="429">
        <v>5.5E-2</v>
      </c>
      <c r="M53" s="424">
        <v>29.5</v>
      </c>
      <c r="N53" s="425">
        <f t="shared" si="16"/>
        <v>376647.15</v>
      </c>
      <c r="O53" s="425">
        <f t="shared" si="17"/>
        <v>2382342.1666000001</v>
      </c>
      <c r="P53" s="425">
        <f t="shared" si="18"/>
        <v>1295836.2907947658</v>
      </c>
      <c r="R53" s="425">
        <f t="shared" si="22"/>
        <v>204871.093933153</v>
      </c>
    </row>
    <row r="54" spans="1:18" x14ac:dyDescent="0.3">
      <c r="A54" s="419">
        <v>10</v>
      </c>
      <c r="B54" s="420">
        <f t="shared" si="23"/>
        <v>2028</v>
      </c>
      <c r="C54" s="421">
        <v>3621</v>
      </c>
      <c r="D54" s="422">
        <f>C54*365</f>
        <v>1321665</v>
      </c>
      <c r="E54" s="423">
        <v>1.6</v>
      </c>
      <c r="F54" s="429">
        <v>5.5E-2</v>
      </c>
      <c r="G54" s="424">
        <f t="shared" si="20"/>
        <v>27.722000000000001</v>
      </c>
      <c r="H54" s="425">
        <f t="shared" si="15"/>
        <v>2015155.8421499999</v>
      </c>
      <c r="I54" s="426">
        <v>639</v>
      </c>
      <c r="J54" s="427">
        <f>I54*365</f>
        <v>233235</v>
      </c>
      <c r="K54" s="423">
        <v>1.6</v>
      </c>
      <c r="L54" s="429">
        <v>5.5E-2</v>
      </c>
      <c r="M54" s="424">
        <v>29.5</v>
      </c>
      <c r="N54" s="425">
        <f t="shared" si="16"/>
        <v>378423.78749999998</v>
      </c>
      <c r="O54" s="425">
        <f t="shared" si="17"/>
        <v>2393579.62965</v>
      </c>
      <c r="P54" s="425">
        <f t="shared" si="18"/>
        <v>1216774.5104006575</v>
      </c>
      <c r="R54" s="425">
        <f t="shared" si="22"/>
        <v>192371.46450256385</v>
      </c>
    </row>
    <row r="55" spans="1:18" x14ac:dyDescent="0.3">
      <c r="A55" s="419">
        <v>11</v>
      </c>
      <c r="B55" s="420">
        <f t="shared" si="23"/>
        <v>2029</v>
      </c>
      <c r="C55" s="421">
        <v>3638</v>
      </c>
      <c r="D55" s="422">
        <f t="shared" ref="D55:D75" si="24">C55*365</f>
        <v>1327870</v>
      </c>
      <c r="E55" s="423">
        <v>1.6</v>
      </c>
      <c r="F55" s="429">
        <v>5.5E-2</v>
      </c>
      <c r="G55" s="424">
        <f t="shared" si="20"/>
        <v>27.722000000000001</v>
      </c>
      <c r="H55" s="425">
        <f t="shared" si="15"/>
        <v>2024616.6677000003</v>
      </c>
      <c r="I55" s="426">
        <v>642</v>
      </c>
      <c r="J55" s="427">
        <f t="shared" ref="J55:J75" si="25">I55*365</f>
        <v>234330</v>
      </c>
      <c r="K55" s="423">
        <v>1.6</v>
      </c>
      <c r="L55" s="429">
        <v>5.5E-2</v>
      </c>
      <c r="M55" s="424">
        <v>29.5</v>
      </c>
      <c r="N55" s="425">
        <f t="shared" si="16"/>
        <v>380200.42499999999</v>
      </c>
      <c r="O55" s="425">
        <f t="shared" si="17"/>
        <v>2404817.0927000004</v>
      </c>
      <c r="P55" s="425">
        <f t="shared" si="18"/>
        <v>1142511.2773715095</v>
      </c>
      <c r="R55" s="425">
        <f t="shared" si="22"/>
        <v>180630.48310099891</v>
      </c>
    </row>
    <row r="56" spans="1:18" x14ac:dyDescent="0.3">
      <c r="A56" s="419">
        <v>12</v>
      </c>
      <c r="B56" s="420">
        <f t="shared" si="23"/>
        <v>2030</v>
      </c>
      <c r="C56" s="421">
        <v>3655</v>
      </c>
      <c r="D56" s="422">
        <f t="shared" si="24"/>
        <v>1334075</v>
      </c>
      <c r="E56" s="423">
        <v>1.6</v>
      </c>
      <c r="F56" s="429">
        <v>5.5E-2</v>
      </c>
      <c r="G56" s="424">
        <f t="shared" si="20"/>
        <v>27.722000000000001</v>
      </c>
      <c r="H56" s="425">
        <f t="shared" si="15"/>
        <v>2034077.4932500001</v>
      </c>
      <c r="I56" s="426">
        <v>645</v>
      </c>
      <c r="J56" s="427">
        <f t="shared" si="25"/>
        <v>235425</v>
      </c>
      <c r="K56" s="423">
        <v>1.6</v>
      </c>
      <c r="L56" s="429">
        <v>5.5E-2</v>
      </c>
      <c r="M56" s="424">
        <v>29.5</v>
      </c>
      <c r="N56" s="425">
        <f t="shared" si="16"/>
        <v>381977.0625</v>
      </c>
      <c r="O56" s="425">
        <f t="shared" si="17"/>
        <v>2416054.5557500003</v>
      </c>
      <c r="P56" s="425">
        <f t="shared" si="18"/>
        <v>1072757.116931062</v>
      </c>
      <c r="R56" s="425">
        <f t="shared" si="22"/>
        <v>169602.38390564578</v>
      </c>
    </row>
    <row r="57" spans="1:18" x14ac:dyDescent="0.3">
      <c r="A57" s="419">
        <v>13</v>
      </c>
      <c r="B57" s="420">
        <f t="shared" si="23"/>
        <v>2031</v>
      </c>
      <c r="C57" s="421">
        <v>3672</v>
      </c>
      <c r="D57" s="422">
        <f t="shared" si="24"/>
        <v>1340280</v>
      </c>
      <c r="E57" s="423">
        <v>1.6</v>
      </c>
      <c r="F57" s="429">
        <v>5.5E-2</v>
      </c>
      <c r="G57" s="424">
        <f t="shared" si="20"/>
        <v>27.722000000000001</v>
      </c>
      <c r="H57" s="425">
        <f t="shared" si="15"/>
        <v>2043538.3188</v>
      </c>
      <c r="I57" s="426">
        <v>648</v>
      </c>
      <c r="J57" s="427">
        <f t="shared" si="25"/>
        <v>236520</v>
      </c>
      <c r="K57" s="423">
        <v>1.6</v>
      </c>
      <c r="L57" s="429">
        <v>5.5E-2</v>
      </c>
      <c r="M57" s="424">
        <v>29.5</v>
      </c>
      <c r="N57" s="425">
        <f t="shared" si="16"/>
        <v>383753.7</v>
      </c>
      <c r="O57" s="425">
        <f t="shared" si="17"/>
        <v>2427292.0188000002</v>
      </c>
      <c r="P57" s="425">
        <f t="shared" si="18"/>
        <v>1007239.8924455959</v>
      </c>
      <c r="R57" s="425">
        <f t="shared" si="22"/>
        <v>159244.1422456835</v>
      </c>
    </row>
    <row r="58" spans="1:18" x14ac:dyDescent="0.3">
      <c r="A58" s="419">
        <v>14</v>
      </c>
      <c r="B58" s="420">
        <f t="shared" si="23"/>
        <v>2032</v>
      </c>
      <c r="C58" s="421">
        <v>3689</v>
      </c>
      <c r="D58" s="422">
        <f t="shared" si="24"/>
        <v>1346485</v>
      </c>
      <c r="E58" s="423">
        <v>1.6</v>
      </c>
      <c r="F58" s="429">
        <v>5.5E-2</v>
      </c>
      <c r="G58" s="424">
        <f t="shared" si="20"/>
        <v>27.722000000000001</v>
      </c>
      <c r="H58" s="425">
        <f t="shared" si="15"/>
        <v>2052999.1443500002</v>
      </c>
      <c r="I58" s="426">
        <v>651</v>
      </c>
      <c r="J58" s="427">
        <f t="shared" si="25"/>
        <v>237615</v>
      </c>
      <c r="K58" s="423">
        <v>1.6</v>
      </c>
      <c r="L58" s="429">
        <v>5.5E-2</v>
      </c>
      <c r="M58" s="424">
        <v>29.5</v>
      </c>
      <c r="N58" s="425">
        <f t="shared" si="16"/>
        <v>385530.33750000002</v>
      </c>
      <c r="O58" s="425">
        <f t="shared" si="17"/>
        <v>2438529.4818500001</v>
      </c>
      <c r="P58" s="425">
        <f t="shared" si="18"/>
        <v>945703.77579047391</v>
      </c>
      <c r="R58" s="425">
        <f t="shared" si="22"/>
        <v>149515.31181772813</v>
      </c>
    </row>
    <row r="59" spans="1:18" x14ac:dyDescent="0.3">
      <c r="A59" s="419">
        <v>15</v>
      </c>
      <c r="B59" s="420">
        <f t="shared" si="23"/>
        <v>2033</v>
      </c>
      <c r="C59" s="421">
        <v>3706</v>
      </c>
      <c r="D59" s="422">
        <f t="shared" si="24"/>
        <v>1352690</v>
      </c>
      <c r="E59" s="423">
        <v>1.6</v>
      </c>
      <c r="F59" s="429">
        <v>5.5E-2</v>
      </c>
      <c r="G59" s="424">
        <f t="shared" si="20"/>
        <v>27.722000000000001</v>
      </c>
      <c r="H59" s="425">
        <f t="shared" si="15"/>
        <v>2062459.9698999999</v>
      </c>
      <c r="I59" s="426">
        <v>654</v>
      </c>
      <c r="J59" s="427">
        <f t="shared" si="25"/>
        <v>238710</v>
      </c>
      <c r="K59" s="423">
        <v>1.6</v>
      </c>
      <c r="L59" s="429">
        <v>5.5E-2</v>
      </c>
      <c r="M59" s="424">
        <v>29.5</v>
      </c>
      <c r="N59" s="425">
        <f t="shared" si="16"/>
        <v>387306.97499999998</v>
      </c>
      <c r="O59" s="425">
        <f t="shared" si="17"/>
        <v>2449766.9449</v>
      </c>
      <c r="P59" s="425">
        <f t="shared" si="18"/>
        <v>887908.27823042881</v>
      </c>
      <c r="R59" s="425">
        <f t="shared" si="22"/>
        <v>140377.87146847291</v>
      </c>
    </row>
    <row r="60" spans="1:18" x14ac:dyDescent="0.3">
      <c r="A60" s="419">
        <v>16</v>
      </c>
      <c r="B60" s="420">
        <f t="shared" si="23"/>
        <v>2034</v>
      </c>
      <c r="C60" s="421">
        <v>3723</v>
      </c>
      <c r="D60" s="422">
        <f t="shared" si="24"/>
        <v>1358895</v>
      </c>
      <c r="E60" s="423">
        <v>1.6</v>
      </c>
      <c r="F60" s="429">
        <v>5.5E-2</v>
      </c>
      <c r="G60" s="424">
        <f t="shared" si="20"/>
        <v>27.722000000000001</v>
      </c>
      <c r="H60" s="425">
        <f t="shared" si="15"/>
        <v>2071920.7954500003</v>
      </c>
      <c r="I60" s="426">
        <v>657</v>
      </c>
      <c r="J60" s="427">
        <f t="shared" si="25"/>
        <v>239805</v>
      </c>
      <c r="K60" s="423">
        <v>1.6</v>
      </c>
      <c r="L60" s="429">
        <v>5.5E-2</v>
      </c>
      <c r="M60" s="424">
        <v>29.5</v>
      </c>
      <c r="N60" s="425">
        <f t="shared" si="16"/>
        <v>389083.61249999999</v>
      </c>
      <c r="O60" s="425">
        <f t="shared" si="17"/>
        <v>2461004.4079500004</v>
      </c>
      <c r="P60" s="425">
        <f t="shared" si="18"/>
        <v>833627.33830259787</v>
      </c>
      <c r="R60" s="425">
        <f t="shared" si="22"/>
        <v>131796.08098943485</v>
      </c>
    </row>
    <row r="61" spans="1:18" x14ac:dyDescent="0.3">
      <c r="A61" s="419">
        <v>17</v>
      </c>
      <c r="B61" s="420">
        <f t="shared" si="23"/>
        <v>2035</v>
      </c>
      <c r="C61" s="421">
        <v>3748.5</v>
      </c>
      <c r="D61" s="422">
        <f t="shared" si="24"/>
        <v>1368202.5</v>
      </c>
      <c r="E61" s="423">
        <v>1.6</v>
      </c>
      <c r="F61" s="429">
        <v>5.5E-2</v>
      </c>
      <c r="G61" s="424">
        <f t="shared" si="20"/>
        <v>27.722000000000001</v>
      </c>
      <c r="H61" s="425">
        <f t="shared" si="15"/>
        <v>2086112.0337749999</v>
      </c>
      <c r="I61" s="426">
        <v>661.5</v>
      </c>
      <c r="J61" s="427">
        <f t="shared" si="25"/>
        <v>241447.5</v>
      </c>
      <c r="K61" s="423">
        <v>1.6</v>
      </c>
      <c r="L61" s="429">
        <v>5.5E-2</v>
      </c>
      <c r="M61" s="424">
        <v>29.5</v>
      </c>
      <c r="N61" s="425">
        <f t="shared" si="16"/>
        <v>391748.56874999998</v>
      </c>
      <c r="O61" s="425">
        <f t="shared" si="17"/>
        <v>2477860.602525</v>
      </c>
      <c r="P61" s="425">
        <f t="shared" si="18"/>
        <v>784427.20989938464</v>
      </c>
      <c r="R61" s="425">
        <f t="shared" si="22"/>
        <v>124017.5643672188</v>
      </c>
    </row>
    <row r="62" spans="1:18" x14ac:dyDescent="0.3">
      <c r="A62" s="419">
        <v>18</v>
      </c>
      <c r="B62" s="420">
        <f t="shared" si="23"/>
        <v>2036</v>
      </c>
      <c r="C62" s="421">
        <v>3765.5</v>
      </c>
      <c r="D62" s="422">
        <f t="shared" si="24"/>
        <v>1374407.5</v>
      </c>
      <c r="E62" s="423">
        <v>1.6</v>
      </c>
      <c r="F62" s="429">
        <v>5.5E-2</v>
      </c>
      <c r="G62" s="424">
        <f t="shared" si="20"/>
        <v>27.722000000000001</v>
      </c>
      <c r="H62" s="425">
        <f t="shared" si="15"/>
        <v>2095572.8593250003</v>
      </c>
      <c r="I62" s="426">
        <v>664.5</v>
      </c>
      <c r="J62" s="427">
        <f t="shared" si="25"/>
        <v>242542.5</v>
      </c>
      <c r="K62" s="423">
        <v>1.6</v>
      </c>
      <c r="L62" s="429">
        <v>5.5E-2</v>
      </c>
      <c r="M62" s="424">
        <v>29.5</v>
      </c>
      <c r="N62" s="425">
        <f t="shared" si="16"/>
        <v>393525.20624999999</v>
      </c>
      <c r="O62" s="425">
        <f t="shared" si="17"/>
        <v>2489098.0655750004</v>
      </c>
      <c r="P62" s="425">
        <f t="shared" si="18"/>
        <v>736434.30178953405</v>
      </c>
      <c r="R62" s="425">
        <f t="shared" si="22"/>
        <v>116429.9086923897</v>
      </c>
    </row>
    <row r="63" spans="1:18" x14ac:dyDescent="0.3">
      <c r="A63" s="419">
        <v>19</v>
      </c>
      <c r="B63" s="420">
        <f t="shared" si="23"/>
        <v>2037</v>
      </c>
      <c r="C63" s="421">
        <v>3782.5</v>
      </c>
      <c r="D63" s="422">
        <f t="shared" si="24"/>
        <v>1380612.5</v>
      </c>
      <c r="E63" s="423">
        <v>1.6</v>
      </c>
      <c r="F63" s="429">
        <v>5.5E-2</v>
      </c>
      <c r="G63" s="424">
        <f t="shared" si="20"/>
        <v>27.722000000000001</v>
      </c>
      <c r="H63" s="425">
        <f t="shared" si="15"/>
        <v>2105033.6848750003</v>
      </c>
      <c r="I63" s="426">
        <v>667.5</v>
      </c>
      <c r="J63" s="427">
        <f t="shared" si="25"/>
        <v>243637.5</v>
      </c>
      <c r="K63" s="423">
        <v>1.6</v>
      </c>
      <c r="L63" s="429">
        <v>5.5E-2</v>
      </c>
      <c r="M63" s="424">
        <v>29.5</v>
      </c>
      <c r="N63" s="425">
        <f t="shared" si="16"/>
        <v>395301.84375</v>
      </c>
      <c r="O63" s="425">
        <f t="shared" si="17"/>
        <v>2500335.5286250003</v>
      </c>
      <c r="P63" s="425">
        <f t="shared" si="18"/>
        <v>691363.60898787493</v>
      </c>
      <c r="R63" s="425">
        <f t="shared" si="22"/>
        <v>109304.25385142384</v>
      </c>
    </row>
    <row r="64" spans="1:18" x14ac:dyDescent="0.3">
      <c r="A64" s="430">
        <v>20</v>
      </c>
      <c r="B64" s="420">
        <f t="shared" si="23"/>
        <v>2038</v>
      </c>
      <c r="C64" s="421">
        <v>3799.5</v>
      </c>
      <c r="D64" s="422">
        <f t="shared" si="24"/>
        <v>1386817.5</v>
      </c>
      <c r="E64" s="423">
        <v>1.6</v>
      </c>
      <c r="F64" s="429">
        <v>5.5E-2</v>
      </c>
      <c r="G64" s="424">
        <f t="shared" si="20"/>
        <v>27.722000000000001</v>
      </c>
      <c r="H64" s="425">
        <f t="shared" si="15"/>
        <v>2114494.510425</v>
      </c>
      <c r="I64" s="426">
        <v>670.5</v>
      </c>
      <c r="J64" s="427">
        <f t="shared" si="25"/>
        <v>244732.5</v>
      </c>
      <c r="K64" s="423">
        <v>1.6</v>
      </c>
      <c r="L64" s="429">
        <v>5.5E-2</v>
      </c>
      <c r="M64" s="424">
        <v>29.5</v>
      </c>
      <c r="N64" s="425">
        <f t="shared" si="16"/>
        <v>397078.48125000001</v>
      </c>
      <c r="O64" s="425">
        <f t="shared" si="17"/>
        <v>2511572.9916750002</v>
      </c>
      <c r="P64" s="425">
        <f t="shared" si="18"/>
        <v>649038.18800289847</v>
      </c>
      <c r="R64" s="425">
        <f t="shared" si="22"/>
        <v>102612.62516347047</v>
      </c>
    </row>
    <row r="65" spans="1:18" x14ac:dyDescent="0.3">
      <c r="A65" s="430">
        <v>21</v>
      </c>
      <c r="B65" s="420">
        <f t="shared" si="23"/>
        <v>2039</v>
      </c>
      <c r="C65" s="421">
        <v>3816.5</v>
      </c>
      <c r="D65" s="422">
        <f t="shared" si="24"/>
        <v>1393022.5</v>
      </c>
      <c r="E65" s="423">
        <v>1.6</v>
      </c>
      <c r="F65" s="429">
        <v>5.5E-2</v>
      </c>
      <c r="G65" s="424">
        <f t="shared" si="20"/>
        <v>27.722000000000001</v>
      </c>
      <c r="H65" s="425">
        <f t="shared" si="15"/>
        <v>2123955.3359750002</v>
      </c>
      <c r="I65" s="426">
        <v>673.5</v>
      </c>
      <c r="J65" s="427">
        <f t="shared" si="25"/>
        <v>245827.5</v>
      </c>
      <c r="K65" s="423">
        <v>1.6</v>
      </c>
      <c r="L65" s="429">
        <v>5.5E-2</v>
      </c>
      <c r="M65" s="424">
        <v>29.5</v>
      </c>
      <c r="N65" s="425">
        <f t="shared" si="16"/>
        <v>398855.11875000002</v>
      </c>
      <c r="O65" s="425">
        <f t="shared" si="17"/>
        <v>2522810.4547250001</v>
      </c>
      <c r="P65" s="425">
        <f t="shared" si="18"/>
        <v>609291.7401854553</v>
      </c>
      <c r="R65" s="425">
        <f t="shared" si="22"/>
        <v>96328.73089213288</v>
      </c>
    </row>
    <row r="66" spans="1:18" x14ac:dyDescent="0.3">
      <c r="A66" s="430">
        <v>22</v>
      </c>
      <c r="B66" s="420">
        <f t="shared" si="23"/>
        <v>2040</v>
      </c>
      <c r="C66" s="421">
        <v>3833.5</v>
      </c>
      <c r="D66" s="422">
        <f t="shared" si="24"/>
        <v>1399227.5</v>
      </c>
      <c r="E66" s="423">
        <v>1.6</v>
      </c>
      <c r="F66" s="429">
        <v>5.5E-2</v>
      </c>
      <c r="G66" s="424">
        <f t="shared" si="20"/>
        <v>27.722000000000001</v>
      </c>
      <c r="H66" s="425">
        <f t="shared" si="15"/>
        <v>2133416.1615249999</v>
      </c>
      <c r="I66" s="426">
        <v>676.5</v>
      </c>
      <c r="J66" s="427">
        <f t="shared" si="25"/>
        <v>246922.5</v>
      </c>
      <c r="K66" s="423">
        <v>1.6</v>
      </c>
      <c r="L66" s="429">
        <v>5.5E-2</v>
      </c>
      <c r="M66" s="424">
        <v>29.5</v>
      </c>
      <c r="N66" s="425">
        <f t="shared" si="16"/>
        <v>400631.75624999998</v>
      </c>
      <c r="O66" s="425">
        <f t="shared" si="17"/>
        <v>2534047.917775</v>
      </c>
      <c r="P66" s="425">
        <f t="shared" si="18"/>
        <v>571967.97623720486</v>
      </c>
      <c r="R66" s="425">
        <f t="shared" si="22"/>
        <v>90427.861774560137</v>
      </c>
    </row>
    <row r="67" spans="1:18" x14ac:dyDescent="0.3">
      <c r="A67" s="430">
        <v>23</v>
      </c>
      <c r="B67" s="420">
        <f t="shared" si="23"/>
        <v>2041</v>
      </c>
      <c r="C67" s="421">
        <v>3850.5</v>
      </c>
      <c r="D67" s="422">
        <f t="shared" si="24"/>
        <v>1405432.5</v>
      </c>
      <c r="E67" s="423">
        <v>1.6</v>
      </c>
      <c r="F67" s="429">
        <v>5.5E-2</v>
      </c>
      <c r="G67" s="424">
        <f t="shared" si="20"/>
        <v>27.722000000000001</v>
      </c>
      <c r="H67" s="425">
        <f t="shared" si="15"/>
        <v>2142876.9870750001</v>
      </c>
      <c r="I67" s="426">
        <v>679.5</v>
      </c>
      <c r="J67" s="427">
        <f t="shared" si="25"/>
        <v>248017.5</v>
      </c>
      <c r="K67" s="423">
        <v>1.6</v>
      </c>
      <c r="L67" s="429">
        <v>5.5E-2</v>
      </c>
      <c r="M67" s="424">
        <v>29.5</v>
      </c>
      <c r="N67" s="425">
        <f t="shared" si="16"/>
        <v>402408.39374999999</v>
      </c>
      <c r="O67" s="425">
        <f t="shared" si="17"/>
        <v>2545285.3808249999</v>
      </c>
      <c r="P67" s="425">
        <f t="shared" si="18"/>
        <v>536920.01830916503</v>
      </c>
      <c r="R67" s="425">
        <f t="shared" si="22"/>
        <v>84886.79649351543</v>
      </c>
    </row>
    <row r="68" spans="1:18" x14ac:dyDescent="0.3">
      <c r="A68" s="430">
        <v>24</v>
      </c>
      <c r="B68" s="420">
        <f t="shared" si="23"/>
        <v>2042</v>
      </c>
      <c r="C68" s="421">
        <v>3867.5</v>
      </c>
      <c r="D68" s="422">
        <f t="shared" si="24"/>
        <v>1411637.5</v>
      </c>
      <c r="E68" s="423">
        <v>1.6</v>
      </c>
      <c r="F68" s="429">
        <v>5.5E-2</v>
      </c>
      <c r="G68" s="424">
        <f t="shared" si="20"/>
        <v>27.722000000000001</v>
      </c>
      <c r="H68" s="425">
        <f t="shared" si="15"/>
        <v>2152337.8126250003</v>
      </c>
      <c r="I68" s="426">
        <v>682.5</v>
      </c>
      <c r="J68" s="427">
        <f t="shared" si="25"/>
        <v>249112.5</v>
      </c>
      <c r="K68" s="423">
        <v>1.6</v>
      </c>
      <c r="L68" s="429">
        <v>5.5E-2</v>
      </c>
      <c r="M68" s="424">
        <v>29.5</v>
      </c>
      <c r="N68" s="425">
        <f t="shared" si="16"/>
        <v>404185.03125</v>
      </c>
      <c r="O68" s="425">
        <f t="shared" si="17"/>
        <v>2556522.8438750003</v>
      </c>
      <c r="P68" s="425">
        <f t="shared" si="18"/>
        <v>504009.83749184071</v>
      </c>
      <c r="R68" s="425">
        <f t="shared" si="22"/>
        <v>79683.712744836128</v>
      </c>
    </row>
    <row r="69" spans="1:18" x14ac:dyDescent="0.3">
      <c r="A69" s="430">
        <v>25</v>
      </c>
      <c r="B69" s="420">
        <f t="shared" si="23"/>
        <v>2043</v>
      </c>
      <c r="C69" s="421">
        <v>3884.5</v>
      </c>
      <c r="D69" s="422">
        <f t="shared" si="24"/>
        <v>1417842.5</v>
      </c>
      <c r="E69" s="423">
        <v>1.6</v>
      </c>
      <c r="F69" s="429">
        <v>5.5E-2</v>
      </c>
      <c r="G69" s="424">
        <f t="shared" si="20"/>
        <v>27.722000000000001</v>
      </c>
      <c r="H69" s="425">
        <f t="shared" si="15"/>
        <v>2161798.638175</v>
      </c>
      <c r="I69" s="426">
        <v>685.5</v>
      </c>
      <c r="J69" s="427">
        <f t="shared" si="25"/>
        <v>250207.5</v>
      </c>
      <c r="K69" s="423">
        <v>1.6</v>
      </c>
      <c r="L69" s="429">
        <v>5.5E-2</v>
      </c>
      <c r="M69" s="424">
        <v>29.5</v>
      </c>
      <c r="N69" s="425">
        <f t="shared" si="16"/>
        <v>405961.66875000001</v>
      </c>
      <c r="O69" s="425">
        <f t="shared" si="17"/>
        <v>2567760.3069250002</v>
      </c>
      <c r="P69" s="425">
        <f t="shared" si="18"/>
        <v>473107.72462518472</v>
      </c>
      <c r="R69" s="425">
        <f t="shared" si="22"/>
        <v>74798.103572743377</v>
      </c>
    </row>
    <row r="70" spans="1:18" x14ac:dyDescent="0.3">
      <c r="A70" s="430">
        <v>26</v>
      </c>
      <c r="B70" s="420">
        <f t="shared" si="23"/>
        <v>2044</v>
      </c>
      <c r="C70" s="421">
        <v>3901.5</v>
      </c>
      <c r="D70" s="422">
        <f t="shared" si="24"/>
        <v>1424047.5</v>
      </c>
      <c r="E70" s="423">
        <v>1.6</v>
      </c>
      <c r="F70" s="429">
        <v>5.5E-2</v>
      </c>
      <c r="G70" s="424">
        <f t="shared" si="20"/>
        <v>27.722000000000001</v>
      </c>
      <c r="H70" s="425">
        <f t="shared" si="15"/>
        <v>2171259.4637250002</v>
      </c>
      <c r="I70" s="426">
        <v>688.5</v>
      </c>
      <c r="J70" s="427">
        <f t="shared" si="25"/>
        <v>251302.5</v>
      </c>
      <c r="K70" s="423">
        <v>1.6</v>
      </c>
      <c r="L70" s="429">
        <v>5.5E-2</v>
      </c>
      <c r="M70" s="424">
        <v>29.5</v>
      </c>
      <c r="N70" s="425">
        <f t="shared" si="16"/>
        <v>407738.30625000002</v>
      </c>
      <c r="O70" s="425">
        <f t="shared" si="17"/>
        <v>2578997.7699750001</v>
      </c>
      <c r="P70" s="425">
        <f t="shared" si="18"/>
        <v>444091.79247624654</v>
      </c>
      <c r="R70" s="425">
        <f t="shared" si="22"/>
        <v>70210.698664367796</v>
      </c>
    </row>
    <row r="71" spans="1:18" x14ac:dyDescent="0.3">
      <c r="A71" s="430">
        <v>27</v>
      </c>
      <c r="B71" s="420">
        <f t="shared" si="23"/>
        <v>2045</v>
      </c>
      <c r="C71" s="421">
        <v>3918.5</v>
      </c>
      <c r="D71" s="422">
        <f t="shared" si="24"/>
        <v>1430252.5</v>
      </c>
      <c r="E71" s="423">
        <v>1.6</v>
      </c>
      <c r="F71" s="429">
        <v>5.5E-2</v>
      </c>
      <c r="G71" s="424">
        <f t="shared" si="20"/>
        <v>27.722000000000001</v>
      </c>
      <c r="H71" s="425">
        <f t="shared" si="15"/>
        <v>2180720.2892749999</v>
      </c>
      <c r="I71" s="426">
        <v>691.5</v>
      </c>
      <c r="J71" s="427">
        <f t="shared" si="25"/>
        <v>252397.5</v>
      </c>
      <c r="K71" s="423">
        <v>1.6</v>
      </c>
      <c r="L71" s="429">
        <v>5.5E-2</v>
      </c>
      <c r="M71" s="424">
        <v>29.5</v>
      </c>
      <c r="N71" s="425">
        <f t="shared" si="16"/>
        <v>409514.94374999998</v>
      </c>
      <c r="O71" s="425">
        <f t="shared" si="17"/>
        <v>2590235.233025</v>
      </c>
      <c r="P71" s="425">
        <f t="shared" si="18"/>
        <v>416847.50744517666</v>
      </c>
      <c r="R71" s="425">
        <f t="shared" si="22"/>
        <v>65903.39031269429</v>
      </c>
    </row>
    <row r="72" spans="1:18" x14ac:dyDescent="0.3">
      <c r="A72" s="430">
        <v>28</v>
      </c>
      <c r="B72" s="420">
        <f t="shared" si="23"/>
        <v>2046</v>
      </c>
      <c r="C72" s="421">
        <v>3935.5</v>
      </c>
      <c r="D72" s="422">
        <f t="shared" si="24"/>
        <v>1436457.5</v>
      </c>
      <c r="E72" s="423">
        <v>1.6</v>
      </c>
      <c r="F72" s="429">
        <v>5.5E-2</v>
      </c>
      <c r="G72" s="424">
        <f t="shared" si="20"/>
        <v>27.722000000000001</v>
      </c>
      <c r="H72" s="425">
        <f t="shared" si="15"/>
        <v>2190181.1148250001</v>
      </c>
      <c r="I72" s="426">
        <v>694.5</v>
      </c>
      <c r="J72" s="427">
        <f t="shared" si="25"/>
        <v>253492.5</v>
      </c>
      <c r="K72" s="423">
        <v>1.6</v>
      </c>
      <c r="L72" s="429">
        <v>5.5E-2</v>
      </c>
      <c r="M72" s="424">
        <v>29.5</v>
      </c>
      <c r="N72" s="425">
        <f t="shared" si="16"/>
        <v>411291.58124999999</v>
      </c>
      <c r="O72" s="425">
        <f t="shared" si="17"/>
        <v>2601472.6960749999</v>
      </c>
      <c r="P72" s="425">
        <f t="shared" si="18"/>
        <v>391267.24906667107</v>
      </c>
      <c r="R72" s="425">
        <f t="shared" si="22"/>
        <v>61859.163773952321</v>
      </c>
    </row>
    <row r="73" spans="1:18" x14ac:dyDescent="0.3">
      <c r="A73" s="430">
        <v>29</v>
      </c>
      <c r="B73" s="420">
        <f t="shared" si="23"/>
        <v>2047</v>
      </c>
      <c r="C73" s="421">
        <v>3952.5</v>
      </c>
      <c r="D73" s="422">
        <f t="shared" si="24"/>
        <v>1442662.5</v>
      </c>
      <c r="E73" s="423">
        <v>1.6</v>
      </c>
      <c r="F73" s="429">
        <v>5.5E-2</v>
      </c>
      <c r="G73" s="424">
        <f t="shared" si="20"/>
        <v>27.722000000000001</v>
      </c>
      <c r="H73" s="425">
        <f t="shared" si="15"/>
        <v>2199641.9403750002</v>
      </c>
      <c r="I73" s="426">
        <v>697.5</v>
      </c>
      <c r="J73" s="427">
        <f t="shared" si="25"/>
        <v>254587.5</v>
      </c>
      <c r="K73" s="423">
        <v>1.6</v>
      </c>
      <c r="L73" s="429">
        <v>5.5E-2</v>
      </c>
      <c r="M73" s="424">
        <v>29.5</v>
      </c>
      <c r="N73" s="425">
        <f t="shared" si="16"/>
        <v>413068.21875</v>
      </c>
      <c r="O73" s="425">
        <f t="shared" si="17"/>
        <v>2612710.1591250002</v>
      </c>
      <c r="P73" s="425">
        <f t="shared" si="18"/>
        <v>367249.89567429415</v>
      </c>
      <c r="R73" s="425">
        <f t="shared" si="22"/>
        <v>58062.031761344806</v>
      </c>
    </row>
    <row r="74" spans="1:18" x14ac:dyDescent="0.3">
      <c r="A74" s="430">
        <f>1+A73</f>
        <v>30</v>
      </c>
      <c r="B74" s="420">
        <f t="shared" si="23"/>
        <v>2048</v>
      </c>
      <c r="C74" s="421">
        <v>3969.5</v>
      </c>
      <c r="D74" s="422">
        <f t="shared" si="24"/>
        <v>1448867.5</v>
      </c>
      <c r="E74" s="423">
        <v>1.6</v>
      </c>
      <c r="F74" s="429">
        <v>5.5E-2</v>
      </c>
      <c r="G74" s="424">
        <f t="shared" si="20"/>
        <v>27.722000000000001</v>
      </c>
      <c r="H74" s="425">
        <f t="shared" si="15"/>
        <v>2209102.765925</v>
      </c>
      <c r="I74" s="426">
        <v>700.5</v>
      </c>
      <c r="J74" s="427">
        <f t="shared" si="25"/>
        <v>255682.5</v>
      </c>
      <c r="K74" s="423">
        <v>1.6</v>
      </c>
      <c r="L74" s="429">
        <v>5.5E-2</v>
      </c>
      <c r="M74" s="424">
        <v>29.5</v>
      </c>
      <c r="N74" s="425">
        <f t="shared" si="16"/>
        <v>414844.85625000001</v>
      </c>
      <c r="O74" s="425">
        <f t="shared" si="17"/>
        <v>2623947.6221750001</v>
      </c>
      <c r="P74" s="425">
        <f t="shared" si="18"/>
        <v>344700.43468977057</v>
      </c>
      <c r="R74" s="425">
        <f t="shared" si="22"/>
        <v>54496.972831972722</v>
      </c>
    </row>
    <row r="75" spans="1:18" x14ac:dyDescent="0.3">
      <c r="A75" s="430">
        <f>1+A74</f>
        <v>31</v>
      </c>
      <c r="B75" s="431">
        <f t="shared" si="23"/>
        <v>2049</v>
      </c>
      <c r="C75" s="421">
        <v>3969.5</v>
      </c>
      <c r="D75" s="427">
        <f t="shared" si="24"/>
        <v>1448867.5</v>
      </c>
      <c r="E75" s="423">
        <v>1.6</v>
      </c>
      <c r="F75" s="429">
        <v>5.5E-2</v>
      </c>
      <c r="G75" s="424">
        <f t="shared" si="20"/>
        <v>27.722000000000001</v>
      </c>
      <c r="H75" s="425">
        <f t="shared" si="15"/>
        <v>2209102.765925</v>
      </c>
      <c r="I75" s="426">
        <v>700.5</v>
      </c>
      <c r="J75" s="427">
        <f t="shared" si="25"/>
        <v>255682.5</v>
      </c>
      <c r="K75" s="423">
        <v>1.6</v>
      </c>
      <c r="L75" s="429">
        <v>5.5E-2</v>
      </c>
      <c r="M75" s="424">
        <v>29.5</v>
      </c>
      <c r="N75" s="425">
        <f t="shared" si="16"/>
        <v>414844.85625000001</v>
      </c>
      <c r="O75" s="425">
        <f t="shared" si="17"/>
        <v>2623947.6221750001</v>
      </c>
      <c r="P75" s="425">
        <f t="shared" si="18"/>
        <v>322149.93896240235</v>
      </c>
      <c r="R75" s="425">
        <f t="shared" si="22"/>
        <v>50931.750310254865</v>
      </c>
    </row>
    <row r="76" spans="1:18" x14ac:dyDescent="0.3">
      <c r="A76" s="568" t="s">
        <v>11</v>
      </c>
      <c r="B76" s="569"/>
      <c r="C76" s="569"/>
      <c r="D76" s="569"/>
      <c r="E76" s="569"/>
      <c r="F76" s="569"/>
      <c r="G76" s="569"/>
      <c r="H76" s="569"/>
      <c r="I76" s="569"/>
      <c r="J76" s="569"/>
      <c r="K76" s="569"/>
      <c r="L76" s="569"/>
      <c r="M76" s="569"/>
      <c r="N76" s="569"/>
      <c r="O76" s="570"/>
      <c r="P76" s="432">
        <f>SUM(P44:P73)</f>
        <v>18427986.770704385</v>
      </c>
      <c r="R76" s="432">
        <f>SUM(R44:R73)</f>
        <v>2913455.8396912655</v>
      </c>
    </row>
    <row r="78" spans="1:18" x14ac:dyDescent="0.25">
      <c r="A78" s="566"/>
      <c r="B78" s="566"/>
      <c r="C78" s="566"/>
      <c r="D78" s="566"/>
      <c r="E78" s="566"/>
      <c r="I78" s="37"/>
    </row>
    <row r="79" spans="1:18" x14ac:dyDescent="0.25">
      <c r="A79" s="567" t="s">
        <v>176</v>
      </c>
      <c r="B79" s="567"/>
      <c r="C79" s="567"/>
      <c r="D79" s="567"/>
      <c r="E79" s="567"/>
      <c r="F79" s="567"/>
      <c r="G79" s="567"/>
      <c r="H79" s="567"/>
      <c r="I79" s="567"/>
      <c r="J79" s="567"/>
      <c r="K79" s="567"/>
      <c r="L79" s="567"/>
      <c r="M79" s="567"/>
      <c r="N79" s="567"/>
      <c r="O79" s="567"/>
      <c r="P79" s="567"/>
      <c r="R79" s="191"/>
    </row>
    <row r="80" spans="1:18" x14ac:dyDescent="0.3">
      <c r="A80" s="415" t="s">
        <v>145</v>
      </c>
      <c r="B80" s="415" t="s">
        <v>146</v>
      </c>
      <c r="C80" s="415" t="s">
        <v>147</v>
      </c>
      <c r="D80" s="415" t="s">
        <v>148</v>
      </c>
      <c r="E80" s="415" t="s">
        <v>149</v>
      </c>
      <c r="F80" s="415" t="s">
        <v>150</v>
      </c>
      <c r="G80" s="415" t="s">
        <v>151</v>
      </c>
      <c r="H80" s="415" t="s">
        <v>152</v>
      </c>
      <c r="I80" s="415" t="s">
        <v>153</v>
      </c>
      <c r="J80" s="415" t="s">
        <v>154</v>
      </c>
      <c r="K80" s="415" t="s">
        <v>155</v>
      </c>
      <c r="L80" s="415" t="s">
        <v>88</v>
      </c>
      <c r="M80" s="415" t="s">
        <v>156</v>
      </c>
      <c r="N80" s="415" t="s">
        <v>157</v>
      </c>
      <c r="O80" s="415" t="s">
        <v>158</v>
      </c>
      <c r="P80" s="415" t="s">
        <v>159</v>
      </c>
      <c r="R80" s="415" t="s">
        <v>160</v>
      </c>
    </row>
    <row r="81" spans="1:18" ht="100.8" x14ac:dyDescent="0.3">
      <c r="A81" s="416" t="s">
        <v>29</v>
      </c>
      <c r="B81" s="417" t="s">
        <v>30</v>
      </c>
      <c r="C81" s="433" t="s">
        <v>161</v>
      </c>
      <c r="D81" s="417" t="s">
        <v>162</v>
      </c>
      <c r="E81" s="417" t="s">
        <v>163</v>
      </c>
      <c r="F81" s="417" t="s">
        <v>164</v>
      </c>
      <c r="G81" s="417" t="s">
        <v>165</v>
      </c>
      <c r="H81" s="417" t="s">
        <v>166</v>
      </c>
      <c r="I81" s="417" t="s">
        <v>167</v>
      </c>
      <c r="J81" s="417" t="s">
        <v>168</v>
      </c>
      <c r="K81" s="417" t="s">
        <v>169</v>
      </c>
      <c r="L81" s="417" t="s">
        <v>164</v>
      </c>
      <c r="M81" s="417" t="s">
        <v>170</v>
      </c>
      <c r="N81" s="417" t="s">
        <v>171</v>
      </c>
      <c r="O81" s="417" t="s">
        <v>172</v>
      </c>
      <c r="P81" s="416" t="s">
        <v>32</v>
      </c>
      <c r="R81" s="417" t="s">
        <v>173</v>
      </c>
    </row>
    <row r="82" spans="1:18" x14ac:dyDescent="0.3">
      <c r="A82" s="419">
        <v>0</v>
      </c>
      <c r="B82" s="420">
        <v>2018</v>
      </c>
      <c r="C82" s="421">
        <v>3126.2</v>
      </c>
      <c r="D82" s="422">
        <f>C82*365</f>
        <v>1141063</v>
      </c>
      <c r="E82" s="423">
        <v>0</v>
      </c>
      <c r="F82" s="423">
        <v>0</v>
      </c>
      <c r="G82" s="424">
        <f>1.67*16.6</f>
        <v>27.722000000000001</v>
      </c>
      <c r="H82" s="425">
        <f t="shared" ref="H82:H113" si="26">D82*F82*G82</f>
        <v>0</v>
      </c>
      <c r="I82" s="426">
        <v>933.80000000000007</v>
      </c>
      <c r="J82" s="427">
        <f>I82*365</f>
        <v>340837</v>
      </c>
      <c r="K82" s="423">
        <v>0</v>
      </c>
      <c r="L82" s="423">
        <v>0</v>
      </c>
      <c r="M82" s="424">
        <v>29.5</v>
      </c>
      <c r="N82" s="425">
        <f t="shared" ref="N82:N113" si="27">J82*L82*M82</f>
        <v>0</v>
      </c>
      <c r="O82" s="425">
        <f t="shared" ref="O82:O113" si="28">H82+N82</f>
        <v>0</v>
      </c>
      <c r="P82" s="425">
        <f t="shared" ref="P82:P113" si="29">O82/(1+0.07)^A82</f>
        <v>0</v>
      </c>
      <c r="R82" s="425">
        <f>N82/(1+0.07)^A82</f>
        <v>0</v>
      </c>
    </row>
    <row r="83" spans="1:18" x14ac:dyDescent="0.3">
      <c r="A83" s="419">
        <v>1</v>
      </c>
      <c r="B83" s="420">
        <f>1+B82</f>
        <v>2019</v>
      </c>
      <c r="C83" s="421">
        <v>3141.6</v>
      </c>
      <c r="D83" s="422">
        <f t="shared" ref="D83:D91" si="30">C83*365</f>
        <v>1146684</v>
      </c>
      <c r="E83" s="423">
        <v>0</v>
      </c>
      <c r="F83" s="423">
        <v>0</v>
      </c>
      <c r="G83" s="424">
        <f t="shared" ref="G83:G113" si="31">1.67*16.6</f>
        <v>27.722000000000001</v>
      </c>
      <c r="H83" s="425">
        <f t="shared" si="26"/>
        <v>0</v>
      </c>
      <c r="I83" s="426">
        <v>938.40000000000009</v>
      </c>
      <c r="J83" s="427">
        <f t="shared" ref="J83:J91" si="32">I83*365</f>
        <v>342516.00000000006</v>
      </c>
      <c r="K83" s="423">
        <v>0</v>
      </c>
      <c r="L83" s="423">
        <v>0</v>
      </c>
      <c r="M83" s="424">
        <v>29.5</v>
      </c>
      <c r="N83" s="425">
        <f t="shared" si="27"/>
        <v>0</v>
      </c>
      <c r="O83" s="425">
        <f t="shared" si="28"/>
        <v>0</v>
      </c>
      <c r="P83" s="425">
        <f t="shared" si="29"/>
        <v>0</v>
      </c>
      <c r="R83" s="425">
        <f t="shared" ref="R83:R113" si="33">N83/(1+0.07)^A83</f>
        <v>0</v>
      </c>
    </row>
    <row r="84" spans="1:18" x14ac:dyDescent="0.3">
      <c r="A84" s="419">
        <v>2</v>
      </c>
      <c r="B84" s="420">
        <f t="shared" ref="B84:B113" si="34">1+B83</f>
        <v>2020</v>
      </c>
      <c r="C84" s="421">
        <v>3157</v>
      </c>
      <c r="D84" s="422">
        <f t="shared" si="30"/>
        <v>1152305</v>
      </c>
      <c r="E84" s="423">
        <v>0</v>
      </c>
      <c r="F84" s="423">
        <v>0</v>
      </c>
      <c r="G84" s="424">
        <f t="shared" si="31"/>
        <v>27.722000000000001</v>
      </c>
      <c r="H84" s="425">
        <f t="shared" si="26"/>
        <v>0</v>
      </c>
      <c r="I84" s="426">
        <v>943</v>
      </c>
      <c r="J84" s="427">
        <f t="shared" si="32"/>
        <v>344195</v>
      </c>
      <c r="K84" s="423">
        <v>0</v>
      </c>
      <c r="L84" s="423">
        <v>0</v>
      </c>
      <c r="M84" s="424">
        <v>29.5</v>
      </c>
      <c r="N84" s="425">
        <f t="shared" si="27"/>
        <v>0</v>
      </c>
      <c r="O84" s="425">
        <f t="shared" si="28"/>
        <v>0</v>
      </c>
      <c r="P84" s="425">
        <f t="shared" si="29"/>
        <v>0</v>
      </c>
      <c r="R84" s="425">
        <f t="shared" si="33"/>
        <v>0</v>
      </c>
    </row>
    <row r="85" spans="1:18" x14ac:dyDescent="0.3">
      <c r="A85" s="419">
        <v>3</v>
      </c>
      <c r="B85" s="420">
        <f t="shared" si="34"/>
        <v>2021</v>
      </c>
      <c r="C85" s="421">
        <v>3172.4</v>
      </c>
      <c r="D85" s="422">
        <f t="shared" si="30"/>
        <v>1157926</v>
      </c>
      <c r="E85" s="423">
        <v>0</v>
      </c>
      <c r="F85" s="423">
        <v>0</v>
      </c>
      <c r="G85" s="424">
        <f t="shared" si="31"/>
        <v>27.722000000000001</v>
      </c>
      <c r="H85" s="425">
        <f t="shared" si="26"/>
        <v>0</v>
      </c>
      <c r="I85" s="426">
        <v>947.6</v>
      </c>
      <c r="J85" s="427">
        <f t="shared" si="32"/>
        <v>345874</v>
      </c>
      <c r="K85" s="423">
        <v>0</v>
      </c>
      <c r="L85" s="423">
        <v>0</v>
      </c>
      <c r="M85" s="424">
        <v>29.5</v>
      </c>
      <c r="N85" s="425">
        <f t="shared" si="27"/>
        <v>0</v>
      </c>
      <c r="O85" s="425">
        <f t="shared" si="28"/>
        <v>0</v>
      </c>
      <c r="P85" s="425">
        <f t="shared" si="29"/>
        <v>0</v>
      </c>
      <c r="R85" s="425">
        <f t="shared" si="33"/>
        <v>0</v>
      </c>
    </row>
    <row r="86" spans="1:18" x14ac:dyDescent="0.3">
      <c r="A86" s="419">
        <v>4</v>
      </c>
      <c r="B86" s="420">
        <f t="shared" si="34"/>
        <v>2022</v>
      </c>
      <c r="C86" s="421">
        <v>3187.8</v>
      </c>
      <c r="D86" s="422">
        <f t="shared" si="30"/>
        <v>1163547</v>
      </c>
      <c r="E86" s="423">
        <v>0</v>
      </c>
      <c r="F86" s="423">
        <v>0</v>
      </c>
      <c r="G86" s="424">
        <f t="shared" si="31"/>
        <v>27.722000000000001</v>
      </c>
      <c r="H86" s="425">
        <f t="shared" si="26"/>
        <v>0</v>
      </c>
      <c r="I86" s="426">
        <v>952.2</v>
      </c>
      <c r="J86" s="427">
        <f t="shared" si="32"/>
        <v>347553</v>
      </c>
      <c r="K86" s="423">
        <v>0</v>
      </c>
      <c r="L86" s="423">
        <v>0</v>
      </c>
      <c r="M86" s="424">
        <v>29.5</v>
      </c>
      <c r="N86" s="425">
        <f t="shared" si="27"/>
        <v>0</v>
      </c>
      <c r="O86" s="425">
        <f t="shared" si="28"/>
        <v>0</v>
      </c>
      <c r="P86" s="425">
        <f t="shared" si="29"/>
        <v>0</v>
      </c>
      <c r="R86" s="425">
        <f t="shared" si="33"/>
        <v>0</v>
      </c>
    </row>
    <row r="87" spans="1:18" x14ac:dyDescent="0.3">
      <c r="A87" s="419">
        <v>5</v>
      </c>
      <c r="B87" s="420">
        <f t="shared" si="34"/>
        <v>2023</v>
      </c>
      <c r="C87" s="421">
        <v>3203.2</v>
      </c>
      <c r="D87" s="422">
        <f t="shared" si="30"/>
        <v>1169168</v>
      </c>
      <c r="E87" s="423">
        <v>0</v>
      </c>
      <c r="F87" s="423">
        <v>0</v>
      </c>
      <c r="G87" s="424">
        <f t="shared" si="31"/>
        <v>27.722000000000001</v>
      </c>
      <c r="H87" s="425">
        <f t="shared" si="26"/>
        <v>0</v>
      </c>
      <c r="I87" s="426">
        <v>956.80000000000007</v>
      </c>
      <c r="J87" s="427">
        <f t="shared" si="32"/>
        <v>349232</v>
      </c>
      <c r="K87" s="423">
        <v>0</v>
      </c>
      <c r="L87" s="423">
        <v>0</v>
      </c>
      <c r="M87" s="424">
        <v>29.5</v>
      </c>
      <c r="N87" s="425">
        <f t="shared" si="27"/>
        <v>0</v>
      </c>
      <c r="O87" s="425">
        <f t="shared" si="28"/>
        <v>0</v>
      </c>
      <c r="P87" s="425">
        <f t="shared" si="29"/>
        <v>0</v>
      </c>
      <c r="R87" s="425">
        <f t="shared" si="33"/>
        <v>0</v>
      </c>
    </row>
    <row r="88" spans="1:18" x14ac:dyDescent="0.3">
      <c r="A88" s="419">
        <v>6</v>
      </c>
      <c r="B88" s="420">
        <f t="shared" si="34"/>
        <v>2024</v>
      </c>
      <c r="C88" s="421">
        <v>3218.6</v>
      </c>
      <c r="D88" s="422">
        <f t="shared" si="30"/>
        <v>1174789</v>
      </c>
      <c r="E88" s="423">
        <v>0</v>
      </c>
      <c r="F88" s="423">
        <v>0</v>
      </c>
      <c r="G88" s="424">
        <f t="shared" si="31"/>
        <v>27.722000000000001</v>
      </c>
      <c r="H88" s="425">
        <f t="shared" si="26"/>
        <v>0</v>
      </c>
      <c r="I88" s="426">
        <v>961.40000000000009</v>
      </c>
      <c r="J88" s="427">
        <f t="shared" si="32"/>
        <v>350911.00000000006</v>
      </c>
      <c r="K88" s="423">
        <v>0</v>
      </c>
      <c r="L88" s="423">
        <v>0</v>
      </c>
      <c r="M88" s="424">
        <v>29.5</v>
      </c>
      <c r="N88" s="425">
        <f t="shared" si="27"/>
        <v>0</v>
      </c>
      <c r="O88" s="425">
        <f t="shared" si="28"/>
        <v>0</v>
      </c>
      <c r="P88" s="425">
        <f t="shared" si="29"/>
        <v>0</v>
      </c>
      <c r="R88" s="425">
        <f t="shared" si="33"/>
        <v>0</v>
      </c>
    </row>
    <row r="89" spans="1:18" x14ac:dyDescent="0.3">
      <c r="A89" s="419">
        <v>7</v>
      </c>
      <c r="B89" s="420">
        <f t="shared" si="34"/>
        <v>2025</v>
      </c>
      <c r="C89" s="421">
        <v>3234</v>
      </c>
      <c r="D89" s="422">
        <f t="shared" si="30"/>
        <v>1180410</v>
      </c>
      <c r="E89" s="423">
        <v>2.2000000000000002</v>
      </c>
      <c r="F89" s="429">
        <v>6.3E-2</v>
      </c>
      <c r="G89" s="424">
        <f t="shared" si="31"/>
        <v>27.722000000000001</v>
      </c>
      <c r="H89" s="425">
        <f t="shared" si="26"/>
        <v>2061569.5392600002</v>
      </c>
      <c r="I89" s="426">
        <v>966</v>
      </c>
      <c r="J89" s="427">
        <f t="shared" si="32"/>
        <v>352590</v>
      </c>
      <c r="K89" s="423">
        <v>2.2000000000000002</v>
      </c>
      <c r="L89" s="429">
        <v>6.3E-2</v>
      </c>
      <c r="M89" s="424">
        <v>29.5</v>
      </c>
      <c r="N89" s="425">
        <f t="shared" si="27"/>
        <v>655288.51500000001</v>
      </c>
      <c r="O89" s="425">
        <f t="shared" si="28"/>
        <v>2716858.0542600001</v>
      </c>
      <c r="P89" s="425">
        <f t="shared" si="29"/>
        <v>1691922.6520274875</v>
      </c>
      <c r="R89" s="425">
        <f t="shared" si="33"/>
        <v>408080.75357618701</v>
      </c>
    </row>
    <row r="90" spans="1:18" x14ac:dyDescent="0.3">
      <c r="A90" s="419">
        <v>8</v>
      </c>
      <c r="B90" s="420">
        <f t="shared" si="34"/>
        <v>2026</v>
      </c>
      <c r="C90" s="421">
        <v>3249.4</v>
      </c>
      <c r="D90" s="422">
        <f t="shared" si="30"/>
        <v>1186031</v>
      </c>
      <c r="E90" s="423">
        <v>2.2000000000000002</v>
      </c>
      <c r="F90" s="429">
        <v>6.3E-2</v>
      </c>
      <c r="G90" s="424">
        <f t="shared" si="31"/>
        <v>27.722000000000001</v>
      </c>
      <c r="H90" s="425">
        <f t="shared" si="26"/>
        <v>2071386.537066</v>
      </c>
      <c r="I90" s="426">
        <v>970.6</v>
      </c>
      <c r="J90" s="427">
        <f t="shared" si="32"/>
        <v>354269</v>
      </c>
      <c r="K90" s="423">
        <v>2.2000000000000002</v>
      </c>
      <c r="L90" s="429">
        <v>6.3E-2</v>
      </c>
      <c r="M90" s="424">
        <v>29.5</v>
      </c>
      <c r="N90" s="425">
        <f t="shared" si="27"/>
        <v>658408.93649999995</v>
      </c>
      <c r="O90" s="425">
        <f t="shared" si="28"/>
        <v>2729795.4735659999</v>
      </c>
      <c r="P90" s="425">
        <f t="shared" si="29"/>
        <v>1588765.8192158428</v>
      </c>
      <c r="R90" s="425">
        <f t="shared" si="33"/>
        <v>383199.9955699842</v>
      </c>
    </row>
    <row r="91" spans="1:18" x14ac:dyDescent="0.3">
      <c r="A91" s="419">
        <v>9</v>
      </c>
      <c r="B91" s="420">
        <f t="shared" si="34"/>
        <v>2027</v>
      </c>
      <c r="C91" s="421">
        <v>3264.8</v>
      </c>
      <c r="D91" s="422">
        <f t="shared" si="30"/>
        <v>1191652</v>
      </c>
      <c r="E91" s="423">
        <v>2.2000000000000002</v>
      </c>
      <c r="F91" s="429">
        <v>6.3E-2</v>
      </c>
      <c r="G91" s="424">
        <f t="shared" si="31"/>
        <v>27.722000000000001</v>
      </c>
      <c r="H91" s="425">
        <f t="shared" si="26"/>
        <v>2081203.5348720001</v>
      </c>
      <c r="I91" s="426">
        <v>975.2</v>
      </c>
      <c r="J91" s="427">
        <f t="shared" si="32"/>
        <v>355948</v>
      </c>
      <c r="K91" s="423">
        <v>2.2000000000000002</v>
      </c>
      <c r="L91" s="429">
        <v>6.3E-2</v>
      </c>
      <c r="M91" s="424">
        <v>29.5</v>
      </c>
      <c r="N91" s="425">
        <f t="shared" si="27"/>
        <v>661529.35800000001</v>
      </c>
      <c r="O91" s="425">
        <f t="shared" si="28"/>
        <v>2742732.8928720001</v>
      </c>
      <c r="P91" s="425">
        <f t="shared" si="29"/>
        <v>1491864.9673285142</v>
      </c>
      <c r="R91" s="425">
        <f t="shared" si="33"/>
        <v>359828.13952622871</v>
      </c>
    </row>
    <row r="92" spans="1:18" x14ac:dyDescent="0.3">
      <c r="A92" s="419">
        <v>10</v>
      </c>
      <c r="B92" s="420">
        <f t="shared" si="34"/>
        <v>2028</v>
      </c>
      <c r="C92" s="421">
        <v>3280.2</v>
      </c>
      <c r="D92" s="422">
        <f>C92*365</f>
        <v>1197273</v>
      </c>
      <c r="E92" s="423">
        <v>2.2000000000000002</v>
      </c>
      <c r="F92" s="429">
        <v>6.3E-2</v>
      </c>
      <c r="G92" s="424">
        <f t="shared" si="31"/>
        <v>27.722000000000001</v>
      </c>
      <c r="H92" s="425">
        <f t="shared" si="26"/>
        <v>2091020.5326780004</v>
      </c>
      <c r="I92" s="426">
        <v>979.80000000000007</v>
      </c>
      <c r="J92" s="427">
        <f>I92*365</f>
        <v>357627</v>
      </c>
      <c r="K92" s="423">
        <v>2.2000000000000002</v>
      </c>
      <c r="L92" s="429">
        <v>6.3E-2</v>
      </c>
      <c r="M92" s="424">
        <v>29.5</v>
      </c>
      <c r="N92" s="425">
        <f t="shared" si="27"/>
        <v>664649.77950000006</v>
      </c>
      <c r="O92" s="425">
        <f t="shared" si="28"/>
        <v>2755670.3121780003</v>
      </c>
      <c r="P92" s="425">
        <f t="shared" si="29"/>
        <v>1400843.0525523433</v>
      </c>
      <c r="R92" s="425">
        <f t="shared" si="33"/>
        <v>337874.24492632132</v>
      </c>
    </row>
    <row r="93" spans="1:18" x14ac:dyDescent="0.3">
      <c r="A93" s="419">
        <v>11</v>
      </c>
      <c r="B93" s="420">
        <f t="shared" si="34"/>
        <v>2029</v>
      </c>
      <c r="C93" s="421">
        <v>3295.6</v>
      </c>
      <c r="D93" s="422">
        <f t="shared" ref="D93:D113" si="35">C93*365</f>
        <v>1202894</v>
      </c>
      <c r="E93" s="423">
        <v>2.2000000000000002</v>
      </c>
      <c r="F93" s="429">
        <v>6.3E-2</v>
      </c>
      <c r="G93" s="424">
        <f t="shared" si="31"/>
        <v>27.722000000000001</v>
      </c>
      <c r="H93" s="425">
        <f t="shared" si="26"/>
        <v>2100837.5304840002</v>
      </c>
      <c r="I93" s="426">
        <v>984.40000000000009</v>
      </c>
      <c r="J93" s="427">
        <f t="shared" ref="J93:J113" si="36">I93*365</f>
        <v>359306.00000000006</v>
      </c>
      <c r="K93" s="423">
        <v>2.2000000000000002</v>
      </c>
      <c r="L93" s="429">
        <v>6.3E-2</v>
      </c>
      <c r="M93" s="424">
        <v>29.5</v>
      </c>
      <c r="N93" s="425">
        <f t="shared" si="27"/>
        <v>667770.20100000012</v>
      </c>
      <c r="O93" s="425">
        <f t="shared" si="28"/>
        <v>2768607.7314840006</v>
      </c>
      <c r="P93" s="425">
        <f t="shared" si="29"/>
        <v>1315345.5892510265</v>
      </c>
      <c r="R93" s="425">
        <f t="shared" si="33"/>
        <v>317252.81213739089</v>
      </c>
    </row>
    <row r="94" spans="1:18" x14ac:dyDescent="0.3">
      <c r="A94" s="419">
        <v>12</v>
      </c>
      <c r="B94" s="420">
        <f t="shared" si="34"/>
        <v>2030</v>
      </c>
      <c r="C94" s="421">
        <v>3311</v>
      </c>
      <c r="D94" s="422">
        <f t="shared" si="35"/>
        <v>1208515</v>
      </c>
      <c r="E94" s="423">
        <v>2.2000000000000002</v>
      </c>
      <c r="F94" s="429">
        <v>6.3E-2</v>
      </c>
      <c r="G94" s="424">
        <f t="shared" si="31"/>
        <v>27.722000000000001</v>
      </c>
      <c r="H94" s="425">
        <f t="shared" si="26"/>
        <v>2110654.5282900003</v>
      </c>
      <c r="I94" s="426">
        <v>989</v>
      </c>
      <c r="J94" s="427">
        <f t="shared" si="36"/>
        <v>360985</v>
      </c>
      <c r="K94" s="423">
        <v>2.2000000000000002</v>
      </c>
      <c r="L94" s="429">
        <v>6.3E-2</v>
      </c>
      <c r="M94" s="424">
        <v>29.5</v>
      </c>
      <c r="N94" s="425">
        <f t="shared" si="27"/>
        <v>670890.62250000006</v>
      </c>
      <c r="O94" s="425">
        <f t="shared" si="28"/>
        <v>2781545.1507900003</v>
      </c>
      <c r="P94" s="425">
        <f t="shared" si="29"/>
        <v>1235039.3121188346</v>
      </c>
      <c r="R94" s="425">
        <f t="shared" si="33"/>
        <v>297883.45973246155</v>
      </c>
    </row>
    <row r="95" spans="1:18" x14ac:dyDescent="0.3">
      <c r="A95" s="419">
        <v>13</v>
      </c>
      <c r="B95" s="420">
        <f t="shared" si="34"/>
        <v>2031</v>
      </c>
      <c r="C95" s="421">
        <v>3326.4</v>
      </c>
      <c r="D95" s="422">
        <f t="shared" si="35"/>
        <v>1214136</v>
      </c>
      <c r="E95" s="423">
        <v>2.2000000000000002</v>
      </c>
      <c r="F95" s="429">
        <v>6.3E-2</v>
      </c>
      <c r="G95" s="424">
        <f t="shared" si="31"/>
        <v>27.722000000000001</v>
      </c>
      <c r="H95" s="425">
        <f t="shared" si="26"/>
        <v>2120471.5260959999</v>
      </c>
      <c r="I95" s="426">
        <v>993.6</v>
      </c>
      <c r="J95" s="427">
        <f t="shared" si="36"/>
        <v>362664</v>
      </c>
      <c r="K95" s="423">
        <v>2.2000000000000002</v>
      </c>
      <c r="L95" s="429">
        <v>6.3E-2</v>
      </c>
      <c r="M95" s="424">
        <v>29.5</v>
      </c>
      <c r="N95" s="425">
        <f t="shared" si="27"/>
        <v>674011.04399999999</v>
      </c>
      <c r="O95" s="425">
        <f t="shared" si="28"/>
        <v>2794482.5700960001</v>
      </c>
      <c r="P95" s="425">
        <f t="shared" si="29"/>
        <v>1159610.9168340282</v>
      </c>
      <c r="R95" s="425">
        <f t="shared" si="33"/>
        <v>279690.6207442368</v>
      </c>
    </row>
    <row r="96" spans="1:18" x14ac:dyDescent="0.3">
      <c r="A96" s="419">
        <v>14</v>
      </c>
      <c r="B96" s="420">
        <f t="shared" si="34"/>
        <v>2032</v>
      </c>
      <c r="C96" s="421">
        <v>3341.8</v>
      </c>
      <c r="D96" s="422">
        <f t="shared" si="35"/>
        <v>1219757</v>
      </c>
      <c r="E96" s="423">
        <v>2.2000000000000002</v>
      </c>
      <c r="F96" s="429">
        <v>6.3E-2</v>
      </c>
      <c r="G96" s="424">
        <f t="shared" si="31"/>
        <v>27.722000000000001</v>
      </c>
      <c r="H96" s="425">
        <f t="shared" si="26"/>
        <v>2130288.5239020004</v>
      </c>
      <c r="I96" s="426">
        <v>998.2</v>
      </c>
      <c r="J96" s="427">
        <f t="shared" si="36"/>
        <v>364343</v>
      </c>
      <c r="K96" s="423">
        <v>2.2000000000000002</v>
      </c>
      <c r="L96" s="429">
        <v>6.3E-2</v>
      </c>
      <c r="M96" s="424">
        <v>29.5</v>
      </c>
      <c r="N96" s="425">
        <f t="shared" si="27"/>
        <v>677131.46550000005</v>
      </c>
      <c r="O96" s="425">
        <f t="shared" si="28"/>
        <v>2807419.9894020003</v>
      </c>
      <c r="P96" s="425">
        <f t="shared" si="29"/>
        <v>1088765.8746667714</v>
      </c>
      <c r="R96" s="425">
        <f t="shared" si="33"/>
        <v>262603.25675622793</v>
      </c>
    </row>
    <row r="97" spans="1:18" x14ac:dyDescent="0.3">
      <c r="A97" s="419">
        <v>15</v>
      </c>
      <c r="B97" s="420">
        <f t="shared" si="34"/>
        <v>2033</v>
      </c>
      <c r="C97" s="421">
        <v>3357.2</v>
      </c>
      <c r="D97" s="422">
        <f t="shared" si="35"/>
        <v>1225378</v>
      </c>
      <c r="E97" s="423">
        <v>2.2000000000000002</v>
      </c>
      <c r="F97" s="429">
        <v>6.3E-2</v>
      </c>
      <c r="G97" s="424">
        <f t="shared" si="31"/>
        <v>27.722000000000001</v>
      </c>
      <c r="H97" s="425">
        <f t="shared" si="26"/>
        <v>2140105.521708</v>
      </c>
      <c r="I97" s="426">
        <v>1002.8000000000001</v>
      </c>
      <c r="J97" s="427">
        <f t="shared" si="36"/>
        <v>366022</v>
      </c>
      <c r="K97" s="423">
        <v>2.2000000000000002</v>
      </c>
      <c r="L97" s="429">
        <v>6.3E-2</v>
      </c>
      <c r="M97" s="424">
        <v>29.5</v>
      </c>
      <c r="N97" s="425">
        <f t="shared" si="27"/>
        <v>680251.88699999999</v>
      </c>
      <c r="O97" s="425">
        <f t="shared" si="28"/>
        <v>2820357.4087080001</v>
      </c>
      <c r="P97" s="425">
        <f t="shared" si="29"/>
        <v>1022227.3167550544</v>
      </c>
      <c r="R97" s="425">
        <f t="shared" si="33"/>
        <v>246554.58879735423</v>
      </c>
    </row>
    <row r="98" spans="1:18" x14ac:dyDescent="0.3">
      <c r="A98" s="419">
        <v>16</v>
      </c>
      <c r="B98" s="420">
        <f t="shared" si="34"/>
        <v>2034</v>
      </c>
      <c r="C98" s="421">
        <v>3372.6</v>
      </c>
      <c r="D98" s="422">
        <f t="shared" si="35"/>
        <v>1230999</v>
      </c>
      <c r="E98" s="423">
        <v>2.2000000000000002</v>
      </c>
      <c r="F98" s="429">
        <v>6.3E-2</v>
      </c>
      <c r="G98" s="424">
        <f t="shared" si="31"/>
        <v>27.722000000000001</v>
      </c>
      <c r="H98" s="425">
        <f t="shared" si="26"/>
        <v>2149922.519514</v>
      </c>
      <c r="I98" s="426">
        <v>1007.4000000000001</v>
      </c>
      <c r="J98" s="427">
        <f t="shared" si="36"/>
        <v>367701.00000000006</v>
      </c>
      <c r="K98" s="423">
        <v>2.2000000000000002</v>
      </c>
      <c r="L98" s="429">
        <v>6.3E-2</v>
      </c>
      <c r="M98" s="424">
        <v>29.5</v>
      </c>
      <c r="N98" s="425">
        <f t="shared" si="27"/>
        <v>683372.30850000016</v>
      </c>
      <c r="O98" s="425">
        <f t="shared" si="28"/>
        <v>2833294.8280140003</v>
      </c>
      <c r="P98" s="425">
        <f t="shared" si="29"/>
        <v>959734.98400650336</v>
      </c>
      <c r="R98" s="425">
        <f t="shared" si="33"/>
        <v>231481.84406508016</v>
      </c>
    </row>
    <row r="99" spans="1:18" x14ac:dyDescent="0.3">
      <c r="A99" s="419">
        <v>17</v>
      </c>
      <c r="B99" s="420">
        <f t="shared" si="34"/>
        <v>2035</v>
      </c>
      <c r="C99" s="421">
        <v>3395.7</v>
      </c>
      <c r="D99" s="422">
        <f t="shared" si="35"/>
        <v>1239430.5</v>
      </c>
      <c r="E99" s="423">
        <v>2.2000000000000002</v>
      </c>
      <c r="F99" s="429">
        <v>6.3E-2</v>
      </c>
      <c r="G99" s="424">
        <f t="shared" si="31"/>
        <v>27.722000000000001</v>
      </c>
      <c r="H99" s="425">
        <f t="shared" si="26"/>
        <v>2164648.0162229999</v>
      </c>
      <c r="I99" s="426">
        <v>1014.3000000000001</v>
      </c>
      <c r="J99" s="427">
        <f t="shared" si="36"/>
        <v>370219.5</v>
      </c>
      <c r="K99" s="423">
        <v>2.2000000000000002</v>
      </c>
      <c r="L99" s="429">
        <v>6.3E-2</v>
      </c>
      <c r="M99" s="424">
        <v>29.5</v>
      </c>
      <c r="N99" s="425">
        <f t="shared" si="27"/>
        <v>688052.94074999995</v>
      </c>
      <c r="O99" s="425">
        <f t="shared" si="28"/>
        <v>2852700.956973</v>
      </c>
      <c r="P99" s="425">
        <f t="shared" si="29"/>
        <v>903092.06663011119</v>
      </c>
      <c r="R99" s="425">
        <f t="shared" si="33"/>
        <v>217819.94032496974</v>
      </c>
    </row>
    <row r="100" spans="1:18" x14ac:dyDescent="0.3">
      <c r="A100" s="419">
        <v>18</v>
      </c>
      <c r="B100" s="420">
        <f t="shared" si="34"/>
        <v>2036</v>
      </c>
      <c r="C100" s="421">
        <v>3411.1</v>
      </c>
      <c r="D100" s="422">
        <f t="shared" si="35"/>
        <v>1245051.5</v>
      </c>
      <c r="E100" s="423">
        <v>2.2000000000000002</v>
      </c>
      <c r="F100" s="429">
        <v>6.3E-2</v>
      </c>
      <c r="G100" s="424">
        <f t="shared" si="31"/>
        <v>27.722000000000001</v>
      </c>
      <c r="H100" s="425">
        <f t="shared" si="26"/>
        <v>2174465.014029</v>
      </c>
      <c r="I100" s="426">
        <v>1018.9000000000001</v>
      </c>
      <c r="J100" s="427">
        <f t="shared" si="36"/>
        <v>371898.50000000006</v>
      </c>
      <c r="K100" s="423">
        <v>2.2000000000000002</v>
      </c>
      <c r="L100" s="429">
        <v>6.3E-2</v>
      </c>
      <c r="M100" s="424">
        <v>29.5</v>
      </c>
      <c r="N100" s="425">
        <f t="shared" si="27"/>
        <v>691173.36225000012</v>
      </c>
      <c r="O100" s="425">
        <f t="shared" si="28"/>
        <v>2865638.3762790002</v>
      </c>
      <c r="P100" s="425">
        <f t="shared" si="29"/>
        <v>847838.99276737089</v>
      </c>
      <c r="R100" s="425">
        <f t="shared" si="33"/>
        <v>204493.25781245177</v>
      </c>
    </row>
    <row r="101" spans="1:18" x14ac:dyDescent="0.3">
      <c r="A101" s="419">
        <v>19</v>
      </c>
      <c r="B101" s="420">
        <f t="shared" si="34"/>
        <v>2037</v>
      </c>
      <c r="C101" s="421">
        <v>3426.5</v>
      </c>
      <c r="D101" s="422">
        <f t="shared" si="35"/>
        <v>1250672.5</v>
      </c>
      <c r="E101" s="423">
        <v>2.2000000000000002</v>
      </c>
      <c r="F101" s="429">
        <v>6.3E-2</v>
      </c>
      <c r="G101" s="424">
        <f t="shared" si="31"/>
        <v>27.722000000000001</v>
      </c>
      <c r="H101" s="425">
        <f t="shared" si="26"/>
        <v>2184282.0118350005</v>
      </c>
      <c r="I101" s="426">
        <v>1023.5</v>
      </c>
      <c r="J101" s="427">
        <f t="shared" si="36"/>
        <v>373577.5</v>
      </c>
      <c r="K101" s="423">
        <v>2.2000000000000002</v>
      </c>
      <c r="L101" s="429">
        <v>6.3E-2</v>
      </c>
      <c r="M101" s="424">
        <v>29.5</v>
      </c>
      <c r="N101" s="425">
        <f t="shared" si="27"/>
        <v>694293.78374999994</v>
      </c>
      <c r="O101" s="425">
        <f t="shared" si="28"/>
        <v>2878575.7955850004</v>
      </c>
      <c r="P101" s="425">
        <f t="shared" si="29"/>
        <v>795950.19468255946</v>
      </c>
      <c r="R101" s="425">
        <f t="shared" si="33"/>
        <v>191978.01676450076</v>
      </c>
    </row>
    <row r="102" spans="1:18" x14ac:dyDescent="0.3">
      <c r="A102" s="430">
        <v>20</v>
      </c>
      <c r="B102" s="420">
        <f t="shared" si="34"/>
        <v>2038</v>
      </c>
      <c r="C102" s="421">
        <v>3441.8999999999996</v>
      </c>
      <c r="D102" s="422">
        <f t="shared" si="35"/>
        <v>1256293.4999999998</v>
      </c>
      <c r="E102" s="423">
        <v>2.2000000000000002</v>
      </c>
      <c r="F102" s="429">
        <v>6.3E-2</v>
      </c>
      <c r="G102" s="424">
        <f t="shared" si="31"/>
        <v>27.722000000000001</v>
      </c>
      <c r="H102" s="425">
        <f t="shared" si="26"/>
        <v>2194099.0096409996</v>
      </c>
      <c r="I102" s="426">
        <v>1028.1000000000001</v>
      </c>
      <c r="J102" s="427">
        <f t="shared" si="36"/>
        <v>375256.50000000006</v>
      </c>
      <c r="K102" s="423">
        <v>2.2000000000000002</v>
      </c>
      <c r="L102" s="429">
        <v>6.3E-2</v>
      </c>
      <c r="M102" s="424">
        <v>29.5</v>
      </c>
      <c r="N102" s="425">
        <f t="shared" si="27"/>
        <v>697414.20525000012</v>
      </c>
      <c r="O102" s="425">
        <f t="shared" si="28"/>
        <v>2891513.2148909997</v>
      </c>
      <c r="P102" s="425">
        <f t="shared" si="29"/>
        <v>747221.9616152558</v>
      </c>
      <c r="R102" s="425">
        <f t="shared" si="33"/>
        <v>180225.08346893179</v>
      </c>
    </row>
    <row r="103" spans="1:18" x14ac:dyDescent="0.3">
      <c r="A103" s="430">
        <v>21</v>
      </c>
      <c r="B103" s="420">
        <f t="shared" si="34"/>
        <v>2039</v>
      </c>
      <c r="C103" s="421">
        <v>3457.3</v>
      </c>
      <c r="D103" s="422">
        <f t="shared" si="35"/>
        <v>1261914.5</v>
      </c>
      <c r="E103" s="423">
        <v>2.2000000000000002</v>
      </c>
      <c r="F103" s="429">
        <v>6.3E-2</v>
      </c>
      <c r="G103" s="424">
        <f t="shared" si="31"/>
        <v>27.722000000000001</v>
      </c>
      <c r="H103" s="425">
        <f t="shared" si="26"/>
        <v>2203916.0074470001</v>
      </c>
      <c r="I103" s="426">
        <v>1032.7</v>
      </c>
      <c r="J103" s="427">
        <f t="shared" si="36"/>
        <v>376935.5</v>
      </c>
      <c r="K103" s="423">
        <v>2.2000000000000002</v>
      </c>
      <c r="L103" s="429">
        <v>6.3E-2</v>
      </c>
      <c r="M103" s="424">
        <v>29.5</v>
      </c>
      <c r="N103" s="425">
        <f t="shared" si="27"/>
        <v>700534.62674999994</v>
      </c>
      <c r="O103" s="425">
        <f t="shared" si="28"/>
        <v>2904450.6341969999</v>
      </c>
      <c r="P103" s="425">
        <f t="shared" si="29"/>
        <v>701462.83795448334</v>
      </c>
      <c r="R103" s="425">
        <f t="shared" si="33"/>
        <v>169188.28007600064</v>
      </c>
    </row>
    <row r="104" spans="1:18" x14ac:dyDescent="0.3">
      <c r="A104" s="430">
        <v>22</v>
      </c>
      <c r="B104" s="420">
        <f t="shared" si="34"/>
        <v>2040</v>
      </c>
      <c r="C104" s="421">
        <v>3472.7</v>
      </c>
      <c r="D104" s="422">
        <f t="shared" si="35"/>
        <v>1267535.5</v>
      </c>
      <c r="E104" s="423">
        <v>2.2000000000000002</v>
      </c>
      <c r="F104" s="429">
        <v>6.3E-2</v>
      </c>
      <c r="G104" s="424">
        <f t="shared" si="31"/>
        <v>27.722000000000001</v>
      </c>
      <c r="H104" s="425">
        <f t="shared" si="26"/>
        <v>2213733.0052530002</v>
      </c>
      <c r="I104" s="426">
        <v>1037.3</v>
      </c>
      <c r="J104" s="427">
        <f t="shared" si="36"/>
        <v>378614.5</v>
      </c>
      <c r="K104" s="423">
        <v>2.2000000000000002</v>
      </c>
      <c r="L104" s="429">
        <v>6.3E-2</v>
      </c>
      <c r="M104" s="424">
        <v>29.5</v>
      </c>
      <c r="N104" s="425">
        <f t="shared" si="27"/>
        <v>703655.04824999999</v>
      </c>
      <c r="O104" s="425">
        <f t="shared" si="28"/>
        <v>2917388.0535030002</v>
      </c>
      <c r="P104" s="425">
        <f t="shared" si="29"/>
        <v>658492.89161266375</v>
      </c>
      <c r="R104" s="425">
        <f t="shared" si="33"/>
        <v>158824.20813495471</v>
      </c>
    </row>
    <row r="105" spans="1:18" x14ac:dyDescent="0.3">
      <c r="A105" s="430">
        <v>23</v>
      </c>
      <c r="B105" s="420">
        <f t="shared" si="34"/>
        <v>2041</v>
      </c>
      <c r="C105" s="421">
        <v>3488.1</v>
      </c>
      <c r="D105" s="422">
        <f t="shared" si="35"/>
        <v>1273156.5</v>
      </c>
      <c r="E105" s="423">
        <v>2.2000000000000002</v>
      </c>
      <c r="F105" s="429">
        <v>6.3E-2</v>
      </c>
      <c r="G105" s="424">
        <f t="shared" si="31"/>
        <v>27.722000000000001</v>
      </c>
      <c r="H105" s="425">
        <f t="shared" si="26"/>
        <v>2223550.0030590002</v>
      </c>
      <c r="I105" s="426">
        <v>1041.9000000000001</v>
      </c>
      <c r="J105" s="427">
        <f t="shared" si="36"/>
        <v>380293.50000000006</v>
      </c>
      <c r="K105" s="423">
        <v>2.2000000000000002</v>
      </c>
      <c r="L105" s="429">
        <v>6.3E-2</v>
      </c>
      <c r="M105" s="424">
        <v>29.5</v>
      </c>
      <c r="N105" s="425">
        <f t="shared" si="27"/>
        <v>706775.46975000005</v>
      </c>
      <c r="O105" s="425">
        <f t="shared" si="28"/>
        <v>2930325.4728090004</v>
      </c>
      <c r="P105" s="425">
        <f t="shared" si="29"/>
        <v>618143.0256761437</v>
      </c>
      <c r="R105" s="425">
        <f t="shared" si="33"/>
        <v>149092.08256861076</v>
      </c>
    </row>
    <row r="106" spans="1:18" x14ac:dyDescent="0.3">
      <c r="A106" s="430">
        <v>24</v>
      </c>
      <c r="B106" s="420">
        <f t="shared" si="34"/>
        <v>2042</v>
      </c>
      <c r="C106" s="421">
        <v>3503.5</v>
      </c>
      <c r="D106" s="422">
        <f t="shared" si="35"/>
        <v>1278777.5</v>
      </c>
      <c r="E106" s="423">
        <v>2.2000000000000002</v>
      </c>
      <c r="F106" s="429">
        <v>6.3E-2</v>
      </c>
      <c r="G106" s="424">
        <f t="shared" si="31"/>
        <v>27.722000000000001</v>
      </c>
      <c r="H106" s="425">
        <f t="shared" si="26"/>
        <v>2233367.0008649998</v>
      </c>
      <c r="I106" s="426">
        <v>1046.5</v>
      </c>
      <c r="J106" s="427">
        <f t="shared" si="36"/>
        <v>381972.5</v>
      </c>
      <c r="K106" s="423">
        <v>2.2000000000000002</v>
      </c>
      <c r="L106" s="429">
        <v>6.3E-2</v>
      </c>
      <c r="M106" s="424">
        <v>29.5</v>
      </c>
      <c r="N106" s="425">
        <f t="shared" si="27"/>
        <v>709895.8912500001</v>
      </c>
      <c r="O106" s="425">
        <f t="shared" si="28"/>
        <v>2943262.8921149997</v>
      </c>
      <c r="P106" s="425">
        <f t="shared" si="29"/>
        <v>580254.33080119104</v>
      </c>
      <c r="R106" s="425">
        <f t="shared" si="33"/>
        <v>139953.57547547584</v>
      </c>
    </row>
    <row r="107" spans="1:18" x14ac:dyDescent="0.3">
      <c r="A107" s="430">
        <v>25</v>
      </c>
      <c r="B107" s="420">
        <f t="shared" si="34"/>
        <v>2043</v>
      </c>
      <c r="C107" s="421">
        <v>3518.8999999999996</v>
      </c>
      <c r="D107" s="422">
        <f t="shared" si="35"/>
        <v>1284398.4999999998</v>
      </c>
      <c r="E107" s="423">
        <v>2.2000000000000002</v>
      </c>
      <c r="F107" s="429">
        <v>6.3E-2</v>
      </c>
      <c r="G107" s="424">
        <f t="shared" si="31"/>
        <v>27.722000000000001</v>
      </c>
      <c r="H107" s="425">
        <f t="shared" si="26"/>
        <v>2243183.9986709999</v>
      </c>
      <c r="I107" s="426">
        <v>1051.1000000000001</v>
      </c>
      <c r="J107" s="427">
        <f t="shared" si="36"/>
        <v>383651.50000000006</v>
      </c>
      <c r="K107" s="423">
        <v>2.2000000000000002</v>
      </c>
      <c r="L107" s="429">
        <v>6.3E-2</v>
      </c>
      <c r="M107" s="424">
        <v>29.5</v>
      </c>
      <c r="N107" s="425">
        <f t="shared" si="27"/>
        <v>713016.31275000016</v>
      </c>
      <c r="O107" s="425">
        <f t="shared" si="28"/>
        <v>2956200.3114209999</v>
      </c>
      <c r="P107" s="425">
        <f t="shared" si="29"/>
        <v>544677.47597030771</v>
      </c>
      <c r="R107" s="425">
        <f t="shared" si="33"/>
        <v>131372.66918412747</v>
      </c>
    </row>
    <row r="108" spans="1:18" x14ac:dyDescent="0.3">
      <c r="A108" s="430">
        <v>26</v>
      </c>
      <c r="B108" s="420">
        <f t="shared" si="34"/>
        <v>2044</v>
      </c>
      <c r="C108" s="421">
        <v>3534.3</v>
      </c>
      <c r="D108" s="422">
        <f t="shared" si="35"/>
        <v>1290019.5</v>
      </c>
      <c r="E108" s="423">
        <v>2.2000000000000002</v>
      </c>
      <c r="F108" s="429">
        <v>6.3E-2</v>
      </c>
      <c r="G108" s="424">
        <f t="shared" si="31"/>
        <v>27.722000000000001</v>
      </c>
      <c r="H108" s="425">
        <f t="shared" si="26"/>
        <v>2253000.9964769999</v>
      </c>
      <c r="I108" s="426">
        <v>1055.7</v>
      </c>
      <c r="J108" s="427">
        <f t="shared" si="36"/>
        <v>385330.5</v>
      </c>
      <c r="K108" s="423">
        <v>2.2000000000000002</v>
      </c>
      <c r="L108" s="429">
        <v>6.3E-2</v>
      </c>
      <c r="M108" s="424">
        <v>29.5</v>
      </c>
      <c r="N108" s="425">
        <f t="shared" si="27"/>
        <v>716136.7342500001</v>
      </c>
      <c r="O108" s="425">
        <f t="shared" si="28"/>
        <v>2969137.7307270002</v>
      </c>
      <c r="P108" s="425">
        <f t="shared" si="29"/>
        <v>511272.13536140061</v>
      </c>
      <c r="R108" s="425">
        <f t="shared" si="33"/>
        <v>123315.51801778055</v>
      </c>
    </row>
    <row r="109" spans="1:18" x14ac:dyDescent="0.3">
      <c r="A109" s="430">
        <v>27</v>
      </c>
      <c r="B109" s="420">
        <f t="shared" si="34"/>
        <v>2045</v>
      </c>
      <c r="C109" s="421">
        <v>3549.7</v>
      </c>
      <c r="D109" s="422">
        <f t="shared" si="35"/>
        <v>1295640.5</v>
      </c>
      <c r="E109" s="423">
        <v>2.2000000000000002</v>
      </c>
      <c r="F109" s="429">
        <v>6.3E-2</v>
      </c>
      <c r="G109" s="424">
        <f t="shared" si="31"/>
        <v>27.722000000000001</v>
      </c>
      <c r="H109" s="425">
        <f t="shared" si="26"/>
        <v>2262817.994283</v>
      </c>
      <c r="I109" s="426">
        <v>1060.3</v>
      </c>
      <c r="J109" s="427">
        <f t="shared" si="36"/>
        <v>387009.5</v>
      </c>
      <c r="K109" s="423">
        <v>2.2000000000000002</v>
      </c>
      <c r="L109" s="429">
        <v>6.3E-2</v>
      </c>
      <c r="M109" s="424">
        <v>29.5</v>
      </c>
      <c r="N109" s="425">
        <f t="shared" si="27"/>
        <v>719257.15575000003</v>
      </c>
      <c r="O109" s="425">
        <f t="shared" si="28"/>
        <v>2982075.1500329999</v>
      </c>
      <c r="P109" s="425">
        <f t="shared" si="29"/>
        <v>479906.44921223633</v>
      </c>
      <c r="R109" s="425">
        <f t="shared" si="33"/>
        <v>115750.3182582958</v>
      </c>
    </row>
    <row r="110" spans="1:18" x14ac:dyDescent="0.3">
      <c r="A110" s="430">
        <v>28</v>
      </c>
      <c r="B110" s="420">
        <f t="shared" si="34"/>
        <v>2046</v>
      </c>
      <c r="C110" s="421">
        <v>3565.1</v>
      </c>
      <c r="D110" s="422">
        <f t="shared" si="35"/>
        <v>1301261.5</v>
      </c>
      <c r="E110" s="423">
        <v>2.2000000000000002</v>
      </c>
      <c r="F110" s="429">
        <v>6.3E-2</v>
      </c>
      <c r="G110" s="424">
        <f t="shared" si="31"/>
        <v>27.722000000000001</v>
      </c>
      <c r="H110" s="425">
        <f t="shared" si="26"/>
        <v>2272634.9920890001</v>
      </c>
      <c r="I110" s="426">
        <v>1064.9000000000001</v>
      </c>
      <c r="J110" s="427">
        <f t="shared" si="36"/>
        <v>388688.50000000006</v>
      </c>
      <c r="K110" s="423">
        <v>2.2000000000000002</v>
      </c>
      <c r="L110" s="429">
        <v>6.3E-2</v>
      </c>
      <c r="M110" s="424">
        <v>29.5</v>
      </c>
      <c r="N110" s="425">
        <f t="shared" si="27"/>
        <v>722377.57725000021</v>
      </c>
      <c r="O110" s="425">
        <f t="shared" si="28"/>
        <v>2995012.5693390002</v>
      </c>
      <c r="P110" s="425">
        <f t="shared" si="29"/>
        <v>450456.51668511255</v>
      </c>
      <c r="R110" s="425">
        <f t="shared" si="33"/>
        <v>108647.18582843266</v>
      </c>
    </row>
    <row r="111" spans="1:18" x14ac:dyDescent="0.3">
      <c r="A111" s="430">
        <v>29</v>
      </c>
      <c r="B111" s="420">
        <f t="shared" si="34"/>
        <v>2047</v>
      </c>
      <c r="C111" s="421">
        <v>3580.5</v>
      </c>
      <c r="D111" s="422">
        <f t="shared" si="35"/>
        <v>1306882.5</v>
      </c>
      <c r="E111" s="423">
        <v>2.2000000000000002</v>
      </c>
      <c r="F111" s="429">
        <v>6.3E-2</v>
      </c>
      <c r="G111" s="424">
        <f t="shared" si="31"/>
        <v>27.722000000000001</v>
      </c>
      <c r="H111" s="425">
        <f t="shared" si="26"/>
        <v>2282451.9898950001</v>
      </c>
      <c r="I111" s="426">
        <v>1069.5</v>
      </c>
      <c r="J111" s="427">
        <f t="shared" si="36"/>
        <v>390367.5</v>
      </c>
      <c r="K111" s="423">
        <v>2.2000000000000002</v>
      </c>
      <c r="L111" s="429">
        <v>6.3E-2</v>
      </c>
      <c r="M111" s="424">
        <v>29.5</v>
      </c>
      <c r="N111" s="425">
        <f t="shared" si="27"/>
        <v>725497.99875000003</v>
      </c>
      <c r="O111" s="425">
        <f t="shared" si="28"/>
        <v>3007949.9886450004</v>
      </c>
      <c r="P111" s="425">
        <f t="shared" si="29"/>
        <v>422805.91885221808</v>
      </c>
      <c r="R111" s="425">
        <f t="shared" si="33"/>
        <v>101978.04123901651</v>
      </c>
    </row>
    <row r="112" spans="1:18" x14ac:dyDescent="0.3">
      <c r="A112" s="430">
        <f>1+A111</f>
        <v>30</v>
      </c>
      <c r="B112" s="420">
        <f t="shared" si="34"/>
        <v>2048</v>
      </c>
      <c r="C112" s="421">
        <v>3595.8999999999996</v>
      </c>
      <c r="D112" s="422">
        <f t="shared" si="35"/>
        <v>1312503.4999999998</v>
      </c>
      <c r="E112" s="423">
        <v>2.2000000000000002</v>
      </c>
      <c r="F112" s="429">
        <v>6.3E-2</v>
      </c>
      <c r="G112" s="424">
        <f t="shared" si="31"/>
        <v>27.722000000000001</v>
      </c>
      <c r="H112" s="425">
        <f t="shared" si="26"/>
        <v>2292268.9877009997</v>
      </c>
      <c r="I112" s="426">
        <v>1074.1000000000001</v>
      </c>
      <c r="J112" s="427">
        <f t="shared" si="36"/>
        <v>392046.50000000006</v>
      </c>
      <c r="K112" s="423">
        <v>2.2000000000000002</v>
      </c>
      <c r="L112" s="429">
        <v>6.3E-2</v>
      </c>
      <c r="M112" s="424">
        <v>29.5</v>
      </c>
      <c r="N112" s="425">
        <f t="shared" si="27"/>
        <v>728618.4202500002</v>
      </c>
      <c r="O112" s="425">
        <f t="shared" si="28"/>
        <v>3020887.4079510001</v>
      </c>
      <c r="P112" s="425">
        <f t="shared" si="29"/>
        <v>396845.27003112418</v>
      </c>
      <c r="R112" s="425">
        <f t="shared" si="33"/>
        <v>95716.501373973922</v>
      </c>
    </row>
    <row r="113" spans="1:18" x14ac:dyDescent="0.3">
      <c r="A113" s="430">
        <f>1+A112</f>
        <v>31</v>
      </c>
      <c r="B113" s="431">
        <f t="shared" si="34"/>
        <v>2049</v>
      </c>
      <c r="C113" s="421">
        <v>3595.8999999999996</v>
      </c>
      <c r="D113" s="427">
        <f t="shared" si="35"/>
        <v>1312503.4999999998</v>
      </c>
      <c r="E113" s="423">
        <v>2.2000000000000002</v>
      </c>
      <c r="F113" s="429">
        <v>6.3E-2</v>
      </c>
      <c r="G113" s="424">
        <f t="shared" si="31"/>
        <v>27.722000000000001</v>
      </c>
      <c r="H113" s="425">
        <f t="shared" si="26"/>
        <v>2292268.9877009997</v>
      </c>
      <c r="I113" s="426">
        <v>1074.1000000000001</v>
      </c>
      <c r="J113" s="427">
        <f t="shared" si="36"/>
        <v>392046.50000000006</v>
      </c>
      <c r="K113" s="423">
        <v>2.2000000000000002</v>
      </c>
      <c r="L113" s="429">
        <v>6.3E-2</v>
      </c>
      <c r="M113" s="424">
        <v>29.5</v>
      </c>
      <c r="N113" s="425">
        <f t="shared" si="27"/>
        <v>728618.4202500002</v>
      </c>
      <c r="O113" s="425">
        <f t="shared" si="28"/>
        <v>3020887.4079510001</v>
      </c>
      <c r="P113" s="425">
        <f t="shared" si="29"/>
        <v>370883.42993563</v>
      </c>
      <c r="R113" s="425">
        <f t="shared" si="33"/>
        <v>89454.674181284019</v>
      </c>
    </row>
    <row r="114" spans="1:18" x14ac:dyDescent="0.3">
      <c r="A114" s="568" t="s">
        <v>11</v>
      </c>
      <c r="B114" s="569"/>
      <c r="C114" s="569"/>
      <c r="D114" s="569"/>
      <c r="E114" s="569"/>
      <c r="F114" s="569"/>
      <c r="G114" s="569"/>
      <c r="H114" s="569"/>
      <c r="I114" s="569"/>
      <c r="J114" s="569"/>
      <c r="K114" s="569"/>
      <c r="L114" s="569"/>
      <c r="M114" s="569"/>
      <c r="N114" s="569"/>
      <c r="O114" s="570"/>
      <c r="P114" s="432">
        <f>SUM(P82:P111)</f>
        <v>21215695.282577462</v>
      </c>
      <c r="R114" s="432">
        <f>SUM(R82:R111)</f>
        <v>5117087.8929850217</v>
      </c>
    </row>
    <row r="116" spans="1:18" ht="15" customHeight="1" x14ac:dyDescent="0.25">
      <c r="A116" s="567" t="s">
        <v>177</v>
      </c>
      <c r="B116" s="567"/>
      <c r="C116" s="567"/>
      <c r="D116" s="567"/>
      <c r="E116" s="567"/>
      <c r="F116" s="567"/>
      <c r="G116" s="567"/>
      <c r="H116" s="567"/>
      <c r="I116" s="567"/>
      <c r="J116" s="567"/>
      <c r="K116" s="567"/>
      <c r="L116" s="567"/>
      <c r="M116" s="567"/>
      <c r="N116" s="567"/>
      <c r="O116" s="567"/>
      <c r="P116" s="567"/>
      <c r="R116" s="191"/>
    </row>
    <row r="117" spans="1:18" x14ac:dyDescent="0.3">
      <c r="A117" s="415" t="s">
        <v>145</v>
      </c>
      <c r="B117" s="415" t="s">
        <v>146</v>
      </c>
      <c r="C117" s="415" t="s">
        <v>147</v>
      </c>
      <c r="D117" s="415" t="s">
        <v>148</v>
      </c>
      <c r="E117" s="415" t="s">
        <v>149</v>
      </c>
      <c r="F117" s="415" t="s">
        <v>150</v>
      </c>
      <c r="G117" s="415" t="s">
        <v>151</v>
      </c>
      <c r="H117" s="415" t="s">
        <v>152</v>
      </c>
      <c r="I117" s="415" t="s">
        <v>153</v>
      </c>
      <c r="J117" s="415" t="s">
        <v>154</v>
      </c>
      <c r="K117" s="415" t="s">
        <v>155</v>
      </c>
      <c r="L117" s="415" t="s">
        <v>88</v>
      </c>
      <c r="M117" s="415" t="s">
        <v>156</v>
      </c>
      <c r="N117" s="415" t="s">
        <v>157</v>
      </c>
      <c r="O117" s="415" t="s">
        <v>158</v>
      </c>
      <c r="P117" s="415" t="s">
        <v>159</v>
      </c>
      <c r="R117" s="415" t="s">
        <v>160</v>
      </c>
    </row>
    <row r="118" spans="1:18" ht="100.8" x14ac:dyDescent="0.3">
      <c r="A118" s="416" t="s">
        <v>29</v>
      </c>
      <c r="B118" s="417" t="s">
        <v>30</v>
      </c>
      <c r="C118" s="433" t="s">
        <v>161</v>
      </c>
      <c r="D118" s="417" t="s">
        <v>162</v>
      </c>
      <c r="E118" s="417" t="s">
        <v>163</v>
      </c>
      <c r="F118" s="417" t="s">
        <v>164</v>
      </c>
      <c r="G118" s="417" t="s">
        <v>165</v>
      </c>
      <c r="H118" s="417" t="s">
        <v>166</v>
      </c>
      <c r="I118" s="417" t="s">
        <v>167</v>
      </c>
      <c r="J118" s="417" t="s">
        <v>168</v>
      </c>
      <c r="K118" s="417" t="s">
        <v>169</v>
      </c>
      <c r="L118" s="417" t="s">
        <v>164</v>
      </c>
      <c r="M118" s="417" t="s">
        <v>170</v>
      </c>
      <c r="N118" s="417" t="s">
        <v>171</v>
      </c>
      <c r="O118" s="417" t="s">
        <v>172</v>
      </c>
      <c r="P118" s="416" t="s">
        <v>32</v>
      </c>
      <c r="R118" s="417" t="s">
        <v>173</v>
      </c>
    </row>
    <row r="119" spans="1:18" x14ac:dyDescent="0.3">
      <c r="A119" s="419">
        <v>0</v>
      </c>
      <c r="B119" s="420">
        <v>2018</v>
      </c>
      <c r="C119" s="421">
        <v>9357.5</v>
      </c>
      <c r="D119" s="422">
        <f>C119*365</f>
        <v>3415487.5</v>
      </c>
      <c r="E119" s="423">
        <v>0</v>
      </c>
      <c r="F119" s="423">
        <v>0</v>
      </c>
      <c r="G119" s="424">
        <f>1.67*16.6</f>
        <v>27.722000000000001</v>
      </c>
      <c r="H119" s="425">
        <f t="shared" ref="H119:H150" si="37">D119*F119*G119</f>
        <v>0</v>
      </c>
      <c r="I119" s="426">
        <v>492.5</v>
      </c>
      <c r="J119" s="427">
        <f>I119*365</f>
        <v>179762.5</v>
      </c>
      <c r="K119" s="423">
        <v>0</v>
      </c>
      <c r="L119" s="423">
        <v>0</v>
      </c>
      <c r="M119" s="424">
        <v>29.5</v>
      </c>
      <c r="N119" s="425">
        <f t="shared" ref="N119:N150" si="38">J119*L119*M119</f>
        <v>0</v>
      </c>
      <c r="O119" s="425">
        <f t="shared" ref="O119:O150" si="39">H119+N119</f>
        <v>0</v>
      </c>
      <c r="P119" s="425">
        <f t="shared" ref="P119:P150" si="40">O119/(1+0.07)^A119</f>
        <v>0</v>
      </c>
      <c r="R119" s="425">
        <f>N119/(1+0.07)^A119</f>
        <v>0</v>
      </c>
    </row>
    <row r="120" spans="1:18" x14ac:dyDescent="0.3">
      <c r="A120" s="419">
        <v>1</v>
      </c>
      <c r="B120" s="420">
        <f>1+B119</f>
        <v>2019</v>
      </c>
      <c r="C120" s="421">
        <v>9405</v>
      </c>
      <c r="D120" s="422">
        <f t="shared" ref="D120:D128" si="41">C120*365</f>
        <v>3432825</v>
      </c>
      <c r="E120" s="423">
        <v>0</v>
      </c>
      <c r="F120" s="423">
        <v>0</v>
      </c>
      <c r="G120" s="424">
        <f t="shared" ref="G120:G150" si="42">1.67*16.6</f>
        <v>27.722000000000001</v>
      </c>
      <c r="H120" s="425">
        <f t="shared" si="37"/>
        <v>0</v>
      </c>
      <c r="I120" s="426">
        <v>495</v>
      </c>
      <c r="J120" s="427">
        <f t="shared" ref="J120:J128" si="43">I120*365</f>
        <v>180675</v>
      </c>
      <c r="K120" s="423">
        <v>0</v>
      </c>
      <c r="L120" s="423">
        <v>0</v>
      </c>
      <c r="M120" s="424">
        <v>29.5</v>
      </c>
      <c r="N120" s="425">
        <f t="shared" si="38"/>
        <v>0</v>
      </c>
      <c r="O120" s="425">
        <f t="shared" si="39"/>
        <v>0</v>
      </c>
      <c r="P120" s="425">
        <f t="shared" si="40"/>
        <v>0</v>
      </c>
      <c r="R120" s="425">
        <f t="shared" ref="R120:R150" si="44">N120/(1+0.07)^A120</f>
        <v>0</v>
      </c>
    </row>
    <row r="121" spans="1:18" x14ac:dyDescent="0.3">
      <c r="A121" s="419">
        <v>2</v>
      </c>
      <c r="B121" s="420">
        <f t="shared" ref="B121:B150" si="45">1+B120</f>
        <v>2020</v>
      </c>
      <c r="C121" s="421">
        <v>9452.5</v>
      </c>
      <c r="D121" s="422">
        <f t="shared" si="41"/>
        <v>3450162.5</v>
      </c>
      <c r="E121" s="423">
        <v>0</v>
      </c>
      <c r="F121" s="423">
        <v>0</v>
      </c>
      <c r="G121" s="424">
        <f t="shared" si="42"/>
        <v>27.722000000000001</v>
      </c>
      <c r="H121" s="425">
        <f t="shared" si="37"/>
        <v>0</v>
      </c>
      <c r="I121" s="426">
        <v>497.5</v>
      </c>
      <c r="J121" s="427">
        <f t="shared" si="43"/>
        <v>181587.5</v>
      </c>
      <c r="K121" s="423">
        <v>0</v>
      </c>
      <c r="L121" s="423">
        <v>0</v>
      </c>
      <c r="M121" s="424">
        <v>29.5</v>
      </c>
      <c r="N121" s="425">
        <f t="shared" si="38"/>
        <v>0</v>
      </c>
      <c r="O121" s="425">
        <f t="shared" si="39"/>
        <v>0</v>
      </c>
      <c r="P121" s="425">
        <f t="shared" si="40"/>
        <v>0</v>
      </c>
      <c r="R121" s="425">
        <f t="shared" si="44"/>
        <v>0</v>
      </c>
    </row>
    <row r="122" spans="1:18" x14ac:dyDescent="0.3">
      <c r="A122" s="419">
        <v>3</v>
      </c>
      <c r="B122" s="420">
        <f t="shared" si="45"/>
        <v>2021</v>
      </c>
      <c r="C122" s="421">
        <v>9500</v>
      </c>
      <c r="D122" s="422">
        <f t="shared" si="41"/>
        <v>3467500</v>
      </c>
      <c r="E122" s="423">
        <v>0</v>
      </c>
      <c r="F122" s="423">
        <v>0</v>
      </c>
      <c r="G122" s="424">
        <f t="shared" si="42"/>
        <v>27.722000000000001</v>
      </c>
      <c r="H122" s="425">
        <f t="shared" si="37"/>
        <v>0</v>
      </c>
      <c r="I122" s="426">
        <v>500</v>
      </c>
      <c r="J122" s="427">
        <f t="shared" si="43"/>
        <v>182500</v>
      </c>
      <c r="K122" s="423">
        <v>0</v>
      </c>
      <c r="L122" s="423">
        <v>0</v>
      </c>
      <c r="M122" s="424">
        <v>29.5</v>
      </c>
      <c r="N122" s="425">
        <f t="shared" si="38"/>
        <v>0</v>
      </c>
      <c r="O122" s="425">
        <f t="shared" si="39"/>
        <v>0</v>
      </c>
      <c r="P122" s="425">
        <f t="shared" si="40"/>
        <v>0</v>
      </c>
      <c r="R122" s="425">
        <f t="shared" si="44"/>
        <v>0</v>
      </c>
    </row>
    <row r="123" spans="1:18" x14ac:dyDescent="0.3">
      <c r="A123" s="419">
        <v>4</v>
      </c>
      <c r="B123" s="420">
        <f t="shared" si="45"/>
        <v>2022</v>
      </c>
      <c r="C123" s="421">
        <v>9547.5</v>
      </c>
      <c r="D123" s="422">
        <f t="shared" si="41"/>
        <v>3484837.5</v>
      </c>
      <c r="E123" s="423">
        <v>0</v>
      </c>
      <c r="F123" s="423">
        <v>0</v>
      </c>
      <c r="G123" s="424">
        <f t="shared" si="42"/>
        <v>27.722000000000001</v>
      </c>
      <c r="H123" s="425">
        <f t="shared" si="37"/>
        <v>0</v>
      </c>
      <c r="I123" s="426">
        <v>502.5</v>
      </c>
      <c r="J123" s="427">
        <f t="shared" si="43"/>
        <v>183412.5</v>
      </c>
      <c r="K123" s="423">
        <v>0</v>
      </c>
      <c r="L123" s="423">
        <v>0</v>
      </c>
      <c r="M123" s="424">
        <v>29.5</v>
      </c>
      <c r="N123" s="425">
        <f t="shared" si="38"/>
        <v>0</v>
      </c>
      <c r="O123" s="425">
        <f t="shared" si="39"/>
        <v>0</v>
      </c>
      <c r="P123" s="425">
        <f t="shared" si="40"/>
        <v>0</v>
      </c>
      <c r="R123" s="425">
        <f t="shared" si="44"/>
        <v>0</v>
      </c>
    </row>
    <row r="124" spans="1:18" x14ac:dyDescent="0.3">
      <c r="A124" s="419">
        <v>5</v>
      </c>
      <c r="B124" s="420">
        <f t="shared" si="45"/>
        <v>2023</v>
      </c>
      <c r="C124" s="421">
        <v>9595</v>
      </c>
      <c r="D124" s="422">
        <f t="shared" si="41"/>
        <v>3502175</v>
      </c>
      <c r="E124" s="423">
        <v>0</v>
      </c>
      <c r="F124" s="423">
        <v>0</v>
      </c>
      <c r="G124" s="424">
        <f t="shared" si="42"/>
        <v>27.722000000000001</v>
      </c>
      <c r="H124" s="425">
        <f t="shared" si="37"/>
        <v>0</v>
      </c>
      <c r="I124" s="426">
        <v>505</v>
      </c>
      <c r="J124" s="427">
        <f t="shared" si="43"/>
        <v>184325</v>
      </c>
      <c r="K124" s="423">
        <v>0</v>
      </c>
      <c r="L124" s="423">
        <v>0</v>
      </c>
      <c r="M124" s="424">
        <v>29.5</v>
      </c>
      <c r="N124" s="425">
        <f t="shared" si="38"/>
        <v>0</v>
      </c>
      <c r="O124" s="425">
        <f t="shared" si="39"/>
        <v>0</v>
      </c>
      <c r="P124" s="425">
        <f t="shared" si="40"/>
        <v>0</v>
      </c>
      <c r="R124" s="425">
        <f t="shared" si="44"/>
        <v>0</v>
      </c>
    </row>
    <row r="125" spans="1:18" x14ac:dyDescent="0.3">
      <c r="A125" s="419">
        <v>6</v>
      </c>
      <c r="B125" s="420">
        <f t="shared" si="45"/>
        <v>2024</v>
      </c>
      <c r="C125" s="421">
        <v>9642.5</v>
      </c>
      <c r="D125" s="422">
        <f t="shared" si="41"/>
        <v>3519512.5</v>
      </c>
      <c r="E125" s="423">
        <v>0</v>
      </c>
      <c r="F125" s="423">
        <v>0</v>
      </c>
      <c r="G125" s="424">
        <f t="shared" si="42"/>
        <v>27.722000000000001</v>
      </c>
      <c r="H125" s="425">
        <f t="shared" si="37"/>
        <v>0</v>
      </c>
      <c r="I125" s="426">
        <v>507.5</v>
      </c>
      <c r="J125" s="427">
        <f t="shared" si="43"/>
        <v>185237.5</v>
      </c>
      <c r="K125" s="423">
        <v>0</v>
      </c>
      <c r="L125" s="423">
        <v>0</v>
      </c>
      <c r="M125" s="424">
        <v>29.5</v>
      </c>
      <c r="N125" s="425">
        <f t="shared" si="38"/>
        <v>0</v>
      </c>
      <c r="O125" s="425">
        <f t="shared" si="39"/>
        <v>0</v>
      </c>
      <c r="P125" s="425">
        <f t="shared" si="40"/>
        <v>0</v>
      </c>
      <c r="R125" s="425">
        <f t="shared" si="44"/>
        <v>0</v>
      </c>
    </row>
    <row r="126" spans="1:18" x14ac:dyDescent="0.3">
      <c r="A126" s="419">
        <v>7</v>
      </c>
      <c r="B126" s="420">
        <f t="shared" si="45"/>
        <v>2025</v>
      </c>
      <c r="C126" s="421">
        <v>9680.5</v>
      </c>
      <c r="D126" s="422">
        <f t="shared" si="41"/>
        <v>3533382.5</v>
      </c>
      <c r="E126" s="423">
        <v>1.1000000000000001</v>
      </c>
      <c r="F126" s="429">
        <v>2.9000000000000001E-2</v>
      </c>
      <c r="G126" s="424">
        <f t="shared" si="42"/>
        <v>27.722000000000001</v>
      </c>
      <c r="H126" s="425">
        <f t="shared" si="37"/>
        <v>2840620.460285</v>
      </c>
      <c r="I126" s="426">
        <v>509.5</v>
      </c>
      <c r="J126" s="427">
        <f t="shared" si="43"/>
        <v>185967.5</v>
      </c>
      <c r="K126" s="423">
        <v>1.1000000000000001</v>
      </c>
      <c r="L126" s="429">
        <v>2.9000000000000001E-2</v>
      </c>
      <c r="M126" s="424">
        <v>29.5</v>
      </c>
      <c r="N126" s="425">
        <f t="shared" si="38"/>
        <v>159095.19625000001</v>
      </c>
      <c r="O126" s="425">
        <f t="shared" si="39"/>
        <v>2999715.6565350001</v>
      </c>
      <c r="P126" s="425">
        <f t="shared" si="40"/>
        <v>1868072.150834338</v>
      </c>
      <c r="R126" s="425">
        <f t="shared" si="44"/>
        <v>99076.492399765877</v>
      </c>
    </row>
    <row r="127" spans="1:18" x14ac:dyDescent="0.3">
      <c r="A127" s="419">
        <v>8</v>
      </c>
      <c r="B127" s="420">
        <f t="shared" si="45"/>
        <v>2026</v>
      </c>
      <c r="C127" s="421">
        <v>9728</v>
      </c>
      <c r="D127" s="422">
        <f t="shared" si="41"/>
        <v>3550720</v>
      </c>
      <c r="E127" s="423">
        <v>1.1000000000000001</v>
      </c>
      <c r="F127" s="429">
        <v>2.9000000000000001E-2</v>
      </c>
      <c r="G127" s="424">
        <f t="shared" si="42"/>
        <v>27.722000000000001</v>
      </c>
      <c r="H127" s="425">
        <f t="shared" si="37"/>
        <v>2854558.7353600003</v>
      </c>
      <c r="I127" s="426">
        <v>512</v>
      </c>
      <c r="J127" s="427">
        <f t="shared" si="43"/>
        <v>186880</v>
      </c>
      <c r="K127" s="423">
        <v>1.1000000000000001</v>
      </c>
      <c r="L127" s="429">
        <v>2.9000000000000001E-2</v>
      </c>
      <c r="M127" s="424">
        <v>29.5</v>
      </c>
      <c r="N127" s="425">
        <f t="shared" si="38"/>
        <v>159875.84000000003</v>
      </c>
      <c r="O127" s="425">
        <f t="shared" si="39"/>
        <v>3014434.5753600001</v>
      </c>
      <c r="P127" s="425">
        <f t="shared" si="40"/>
        <v>1754428.3679751656</v>
      </c>
      <c r="R127" s="425">
        <f t="shared" si="44"/>
        <v>93049.194479983373</v>
      </c>
    </row>
    <row r="128" spans="1:18" x14ac:dyDescent="0.3">
      <c r="A128" s="419">
        <v>9</v>
      </c>
      <c r="B128" s="420">
        <f t="shared" si="45"/>
        <v>2027</v>
      </c>
      <c r="C128" s="421">
        <v>9775.5</v>
      </c>
      <c r="D128" s="422">
        <f t="shared" si="41"/>
        <v>3568057.5</v>
      </c>
      <c r="E128" s="423">
        <v>1.1000000000000001</v>
      </c>
      <c r="F128" s="429">
        <v>2.9000000000000001E-2</v>
      </c>
      <c r="G128" s="424">
        <f t="shared" si="42"/>
        <v>27.722000000000001</v>
      </c>
      <c r="H128" s="425">
        <f t="shared" si="37"/>
        <v>2868497.0104350005</v>
      </c>
      <c r="I128" s="426">
        <v>514.5</v>
      </c>
      <c r="J128" s="427">
        <f t="shared" si="43"/>
        <v>187792.5</v>
      </c>
      <c r="K128" s="423">
        <v>1.1000000000000001</v>
      </c>
      <c r="L128" s="429">
        <v>2.9000000000000001E-2</v>
      </c>
      <c r="M128" s="424">
        <v>29.5</v>
      </c>
      <c r="N128" s="425">
        <f t="shared" si="38"/>
        <v>160656.48375000001</v>
      </c>
      <c r="O128" s="425">
        <f t="shared" si="39"/>
        <v>3029153.4941850007</v>
      </c>
      <c r="P128" s="425">
        <f t="shared" si="40"/>
        <v>1647658.7969538965</v>
      </c>
      <c r="R128" s="425">
        <f t="shared" si="44"/>
        <v>87386.482476546866</v>
      </c>
    </row>
    <row r="129" spans="1:18" x14ac:dyDescent="0.3">
      <c r="A129" s="419">
        <v>10</v>
      </c>
      <c r="B129" s="420">
        <f t="shared" si="45"/>
        <v>2028</v>
      </c>
      <c r="C129" s="421">
        <v>9823</v>
      </c>
      <c r="D129" s="422">
        <f>C129*365</f>
        <v>3585395</v>
      </c>
      <c r="E129" s="423">
        <v>1.1000000000000001</v>
      </c>
      <c r="F129" s="429">
        <v>2.9000000000000001E-2</v>
      </c>
      <c r="G129" s="424">
        <f t="shared" si="42"/>
        <v>27.722000000000001</v>
      </c>
      <c r="H129" s="425">
        <f t="shared" si="37"/>
        <v>2882435.2855100003</v>
      </c>
      <c r="I129" s="426">
        <v>517</v>
      </c>
      <c r="J129" s="427">
        <f>I129*365</f>
        <v>188705</v>
      </c>
      <c r="K129" s="423">
        <v>1.1000000000000001</v>
      </c>
      <c r="L129" s="429">
        <v>2.9000000000000001E-2</v>
      </c>
      <c r="M129" s="424">
        <v>29.5</v>
      </c>
      <c r="N129" s="425">
        <f t="shared" si="38"/>
        <v>161437.12750000003</v>
      </c>
      <c r="O129" s="425">
        <f t="shared" si="39"/>
        <v>3043872.4130100003</v>
      </c>
      <c r="P129" s="425">
        <f t="shared" si="40"/>
        <v>1547350.3865020289</v>
      </c>
      <c r="R129" s="425">
        <f t="shared" si="44"/>
        <v>82066.4494888872</v>
      </c>
    </row>
    <row r="130" spans="1:18" x14ac:dyDescent="0.3">
      <c r="A130" s="419">
        <v>11</v>
      </c>
      <c r="B130" s="420">
        <f t="shared" si="45"/>
        <v>2029</v>
      </c>
      <c r="C130" s="421">
        <v>9870.5</v>
      </c>
      <c r="D130" s="422">
        <f t="shared" ref="D130:D150" si="46">C130*365</f>
        <v>3602732.5</v>
      </c>
      <c r="E130" s="423">
        <v>1.1000000000000001</v>
      </c>
      <c r="F130" s="429">
        <v>2.9000000000000001E-2</v>
      </c>
      <c r="G130" s="424">
        <f t="shared" si="42"/>
        <v>27.722000000000001</v>
      </c>
      <c r="H130" s="425">
        <f t="shared" si="37"/>
        <v>2896373.5605850006</v>
      </c>
      <c r="I130" s="426">
        <v>519.5</v>
      </c>
      <c r="J130" s="427">
        <f t="shared" ref="J130:J150" si="47">I130*365</f>
        <v>189617.5</v>
      </c>
      <c r="K130" s="423">
        <v>1.1000000000000001</v>
      </c>
      <c r="L130" s="429">
        <v>2.9000000000000001E-2</v>
      </c>
      <c r="M130" s="424">
        <v>29.5</v>
      </c>
      <c r="N130" s="425">
        <f t="shared" si="38"/>
        <v>162217.77125000002</v>
      </c>
      <c r="O130" s="425">
        <f t="shared" si="39"/>
        <v>3058591.3318350008</v>
      </c>
      <c r="P130" s="425">
        <f t="shared" si="40"/>
        <v>1453114.7088483234</v>
      </c>
      <c r="R130" s="425">
        <f t="shared" si="44"/>
        <v>77068.494566924375</v>
      </c>
    </row>
    <row r="131" spans="1:18" x14ac:dyDescent="0.3">
      <c r="A131" s="419">
        <v>12</v>
      </c>
      <c r="B131" s="420">
        <f t="shared" si="45"/>
        <v>2030</v>
      </c>
      <c r="C131" s="421">
        <v>9918</v>
      </c>
      <c r="D131" s="422">
        <f t="shared" si="46"/>
        <v>3620070</v>
      </c>
      <c r="E131" s="423">
        <v>1.1000000000000001</v>
      </c>
      <c r="F131" s="429">
        <v>2.9000000000000001E-2</v>
      </c>
      <c r="G131" s="424">
        <f t="shared" si="42"/>
        <v>27.722000000000001</v>
      </c>
      <c r="H131" s="425">
        <f t="shared" si="37"/>
        <v>2910311.8356600003</v>
      </c>
      <c r="I131" s="426">
        <v>522</v>
      </c>
      <c r="J131" s="427">
        <f t="shared" si="47"/>
        <v>190530</v>
      </c>
      <c r="K131" s="423">
        <v>1.1000000000000001</v>
      </c>
      <c r="L131" s="429">
        <v>2.9000000000000001E-2</v>
      </c>
      <c r="M131" s="424">
        <v>29.5</v>
      </c>
      <c r="N131" s="425">
        <f t="shared" si="38"/>
        <v>162998.41500000001</v>
      </c>
      <c r="O131" s="425">
        <f t="shared" si="39"/>
        <v>3073310.2506600004</v>
      </c>
      <c r="P131" s="425">
        <f t="shared" si="40"/>
        <v>1364586.5057501821</v>
      </c>
      <c r="R131" s="425">
        <f t="shared" si="44"/>
        <v>72373.245597284462</v>
      </c>
    </row>
    <row r="132" spans="1:18" x14ac:dyDescent="0.3">
      <c r="A132" s="419">
        <v>13</v>
      </c>
      <c r="B132" s="420">
        <f t="shared" si="45"/>
        <v>2031</v>
      </c>
      <c r="C132" s="421">
        <v>9965.5</v>
      </c>
      <c r="D132" s="422">
        <f t="shared" si="46"/>
        <v>3637407.5</v>
      </c>
      <c r="E132" s="423">
        <v>1.1000000000000001</v>
      </c>
      <c r="F132" s="429">
        <v>2.9000000000000001E-2</v>
      </c>
      <c r="G132" s="424">
        <f t="shared" si="42"/>
        <v>27.722000000000001</v>
      </c>
      <c r="H132" s="425">
        <f t="shared" si="37"/>
        <v>2924250.1107350001</v>
      </c>
      <c r="I132" s="426">
        <v>524.5</v>
      </c>
      <c r="J132" s="427">
        <f t="shared" si="47"/>
        <v>191442.5</v>
      </c>
      <c r="K132" s="423">
        <v>1.1000000000000001</v>
      </c>
      <c r="L132" s="429">
        <v>2.9000000000000001E-2</v>
      </c>
      <c r="M132" s="424">
        <v>29.5</v>
      </c>
      <c r="N132" s="425">
        <f t="shared" si="38"/>
        <v>163779.05875000003</v>
      </c>
      <c r="O132" s="425">
        <f t="shared" si="39"/>
        <v>3088029.169485</v>
      </c>
      <c r="P132" s="425">
        <f t="shared" si="40"/>
        <v>1281422.3193790424</v>
      </c>
      <c r="R132" s="425">
        <f t="shared" si="44"/>
        <v>67962.486689898127</v>
      </c>
    </row>
    <row r="133" spans="1:18" x14ac:dyDescent="0.3">
      <c r="A133" s="419">
        <v>14</v>
      </c>
      <c r="B133" s="420">
        <f t="shared" si="45"/>
        <v>2032</v>
      </c>
      <c r="C133" s="421">
        <v>10013</v>
      </c>
      <c r="D133" s="422">
        <f t="shared" si="46"/>
        <v>3654745</v>
      </c>
      <c r="E133" s="423">
        <v>1.1000000000000001</v>
      </c>
      <c r="F133" s="429">
        <v>2.9000000000000001E-2</v>
      </c>
      <c r="G133" s="424">
        <f t="shared" si="42"/>
        <v>27.722000000000001</v>
      </c>
      <c r="H133" s="425">
        <f t="shared" si="37"/>
        <v>2938188.3858100004</v>
      </c>
      <c r="I133" s="426">
        <v>527</v>
      </c>
      <c r="J133" s="427">
        <f t="shared" si="47"/>
        <v>192355</v>
      </c>
      <c r="K133" s="423">
        <v>1.1000000000000001</v>
      </c>
      <c r="L133" s="429">
        <v>2.9000000000000001E-2</v>
      </c>
      <c r="M133" s="424">
        <v>29.5</v>
      </c>
      <c r="N133" s="425">
        <f t="shared" si="38"/>
        <v>164559.70250000001</v>
      </c>
      <c r="O133" s="425">
        <f t="shared" si="39"/>
        <v>3102748.0883100005</v>
      </c>
      <c r="P133" s="425">
        <f t="shared" si="40"/>
        <v>1203299.2031801636</v>
      </c>
      <c r="R133" s="425">
        <f t="shared" si="44"/>
        <v>63819.089806181786</v>
      </c>
    </row>
    <row r="134" spans="1:18" x14ac:dyDescent="0.3">
      <c r="A134" s="419">
        <v>15</v>
      </c>
      <c r="B134" s="420">
        <f t="shared" si="45"/>
        <v>2033</v>
      </c>
      <c r="C134" s="421">
        <v>10060.5</v>
      </c>
      <c r="D134" s="422">
        <f t="shared" si="46"/>
        <v>3672082.5</v>
      </c>
      <c r="E134" s="423">
        <v>1.1000000000000001</v>
      </c>
      <c r="F134" s="429">
        <v>2.9000000000000001E-2</v>
      </c>
      <c r="G134" s="424">
        <f t="shared" si="42"/>
        <v>27.722000000000001</v>
      </c>
      <c r="H134" s="425">
        <f t="shared" si="37"/>
        <v>2952126.6608850001</v>
      </c>
      <c r="I134" s="426">
        <v>529.5</v>
      </c>
      <c r="J134" s="427">
        <f t="shared" si="47"/>
        <v>193267.5</v>
      </c>
      <c r="K134" s="423">
        <v>1.1000000000000001</v>
      </c>
      <c r="L134" s="429">
        <v>2.9000000000000001E-2</v>
      </c>
      <c r="M134" s="424">
        <v>29.5</v>
      </c>
      <c r="N134" s="425">
        <f t="shared" si="38"/>
        <v>165340.34625000003</v>
      </c>
      <c r="O134" s="425">
        <f t="shared" si="39"/>
        <v>3117467.0071350001</v>
      </c>
      <c r="P134" s="425">
        <f t="shared" si="40"/>
        <v>1129913.5081024605</v>
      </c>
      <c r="R134" s="425">
        <f t="shared" si="44"/>
        <v>59926.95038460206</v>
      </c>
    </row>
    <row r="135" spans="1:18" x14ac:dyDescent="0.3">
      <c r="A135" s="419">
        <v>16</v>
      </c>
      <c r="B135" s="420">
        <f t="shared" si="45"/>
        <v>2034</v>
      </c>
      <c r="C135" s="421">
        <v>10108</v>
      </c>
      <c r="D135" s="422">
        <f t="shared" si="46"/>
        <v>3689420</v>
      </c>
      <c r="E135" s="423">
        <v>1.1000000000000001</v>
      </c>
      <c r="F135" s="429">
        <v>2.9000000000000001E-2</v>
      </c>
      <c r="G135" s="424">
        <f t="shared" si="42"/>
        <v>27.722000000000001</v>
      </c>
      <c r="H135" s="425">
        <f t="shared" si="37"/>
        <v>2966064.9359600004</v>
      </c>
      <c r="I135" s="426">
        <v>532</v>
      </c>
      <c r="J135" s="427">
        <f t="shared" si="47"/>
        <v>194180</v>
      </c>
      <c r="K135" s="423">
        <v>1.1000000000000001</v>
      </c>
      <c r="L135" s="429">
        <v>2.9000000000000001E-2</v>
      </c>
      <c r="M135" s="424">
        <v>29.5</v>
      </c>
      <c r="N135" s="425">
        <f t="shared" si="38"/>
        <v>166120.99000000002</v>
      </c>
      <c r="O135" s="425">
        <f t="shared" si="39"/>
        <v>3132185.9259600006</v>
      </c>
      <c r="P135" s="425">
        <f t="shared" si="40"/>
        <v>1060979.7398542252</v>
      </c>
      <c r="R135" s="425">
        <f t="shared" si="44"/>
        <v>56270.926733222666</v>
      </c>
    </row>
    <row r="136" spans="1:18" x14ac:dyDescent="0.3">
      <c r="A136" s="419">
        <v>17</v>
      </c>
      <c r="B136" s="420">
        <f t="shared" si="45"/>
        <v>2035</v>
      </c>
      <c r="C136" s="421">
        <v>10155.5</v>
      </c>
      <c r="D136" s="422">
        <f t="shared" si="46"/>
        <v>3706757.5</v>
      </c>
      <c r="E136" s="423">
        <v>1.1000000000000001</v>
      </c>
      <c r="F136" s="429">
        <v>2.9000000000000001E-2</v>
      </c>
      <c r="G136" s="424">
        <f t="shared" si="42"/>
        <v>27.722000000000001</v>
      </c>
      <c r="H136" s="425">
        <f t="shared" si="37"/>
        <v>2980003.2110350002</v>
      </c>
      <c r="I136" s="426">
        <v>534.5</v>
      </c>
      <c r="J136" s="427">
        <f t="shared" si="47"/>
        <v>195092.5</v>
      </c>
      <c r="K136" s="423">
        <v>1.1000000000000001</v>
      </c>
      <c r="L136" s="429">
        <v>2.9000000000000001E-2</v>
      </c>
      <c r="M136" s="424">
        <v>29.5</v>
      </c>
      <c r="N136" s="425">
        <f t="shared" si="38"/>
        <v>166901.63375000001</v>
      </c>
      <c r="O136" s="425">
        <f t="shared" si="39"/>
        <v>3146904.8447850002</v>
      </c>
      <c r="P136" s="425">
        <f t="shared" si="40"/>
        <v>996229.48308636667</v>
      </c>
      <c r="R136" s="425">
        <f t="shared" si="44"/>
        <v>52836.782971870409</v>
      </c>
    </row>
    <row r="137" spans="1:18" x14ac:dyDescent="0.3">
      <c r="A137" s="419">
        <v>18</v>
      </c>
      <c r="B137" s="420">
        <f t="shared" si="45"/>
        <v>2036</v>
      </c>
      <c r="C137" s="421">
        <v>10203</v>
      </c>
      <c r="D137" s="422">
        <f t="shared" si="46"/>
        <v>3724095</v>
      </c>
      <c r="E137" s="423">
        <v>1.1000000000000001</v>
      </c>
      <c r="F137" s="429">
        <v>2.9000000000000001E-2</v>
      </c>
      <c r="G137" s="424">
        <f t="shared" si="42"/>
        <v>27.722000000000001</v>
      </c>
      <c r="H137" s="425">
        <f t="shared" si="37"/>
        <v>2993941.4861100004</v>
      </c>
      <c r="I137" s="426">
        <v>537</v>
      </c>
      <c r="J137" s="427">
        <f t="shared" si="47"/>
        <v>196005</v>
      </c>
      <c r="K137" s="423">
        <v>1.1000000000000001</v>
      </c>
      <c r="L137" s="429">
        <v>2.9000000000000001E-2</v>
      </c>
      <c r="M137" s="424">
        <v>29.5</v>
      </c>
      <c r="N137" s="425">
        <f t="shared" si="38"/>
        <v>167682.27750000003</v>
      </c>
      <c r="O137" s="425">
        <f t="shared" si="39"/>
        <v>3161623.7636100003</v>
      </c>
      <c r="P137" s="425">
        <f t="shared" si="40"/>
        <v>935410.38863708568</v>
      </c>
      <c r="R137" s="425">
        <f t="shared" si="44"/>
        <v>49611.135318875029</v>
      </c>
    </row>
    <row r="138" spans="1:18" x14ac:dyDescent="0.3">
      <c r="A138" s="419">
        <v>19</v>
      </c>
      <c r="B138" s="420">
        <f t="shared" si="45"/>
        <v>2037</v>
      </c>
      <c r="C138" s="421">
        <v>10250.5</v>
      </c>
      <c r="D138" s="422">
        <f t="shared" si="46"/>
        <v>3741432.5</v>
      </c>
      <c r="E138" s="423">
        <v>1.1000000000000001</v>
      </c>
      <c r="F138" s="429">
        <v>2.9000000000000001E-2</v>
      </c>
      <c r="G138" s="424">
        <f t="shared" si="42"/>
        <v>27.722000000000001</v>
      </c>
      <c r="H138" s="425">
        <f t="shared" si="37"/>
        <v>3007879.7611850007</v>
      </c>
      <c r="I138" s="426">
        <v>539.5</v>
      </c>
      <c r="J138" s="427">
        <f t="shared" si="47"/>
        <v>196917.5</v>
      </c>
      <c r="K138" s="423">
        <v>1.1000000000000001</v>
      </c>
      <c r="L138" s="429">
        <v>2.9000000000000001E-2</v>
      </c>
      <c r="M138" s="424">
        <v>29.5</v>
      </c>
      <c r="N138" s="425">
        <f t="shared" si="38"/>
        <v>168462.92125000001</v>
      </c>
      <c r="O138" s="425">
        <f t="shared" si="39"/>
        <v>3176342.6824350008</v>
      </c>
      <c r="P138" s="425">
        <f t="shared" si="40"/>
        <v>878285.22019128036</v>
      </c>
      <c r="R138" s="425">
        <f t="shared" si="44"/>
        <v>46581.401528973831</v>
      </c>
    </row>
    <row r="139" spans="1:18" x14ac:dyDescent="0.3">
      <c r="A139" s="430">
        <v>20</v>
      </c>
      <c r="B139" s="420">
        <f t="shared" si="45"/>
        <v>2038</v>
      </c>
      <c r="C139" s="421">
        <v>10298</v>
      </c>
      <c r="D139" s="422">
        <f t="shared" si="46"/>
        <v>3758770</v>
      </c>
      <c r="E139" s="423">
        <v>1.1000000000000001</v>
      </c>
      <c r="F139" s="429">
        <v>2.9000000000000001E-2</v>
      </c>
      <c r="G139" s="424">
        <f t="shared" si="42"/>
        <v>27.722000000000001</v>
      </c>
      <c r="H139" s="425">
        <f t="shared" si="37"/>
        <v>3021818.03626</v>
      </c>
      <c r="I139" s="426">
        <v>542</v>
      </c>
      <c r="J139" s="427">
        <f t="shared" si="47"/>
        <v>197830</v>
      </c>
      <c r="K139" s="423">
        <v>1.1000000000000001</v>
      </c>
      <c r="L139" s="429">
        <v>2.9000000000000001E-2</v>
      </c>
      <c r="M139" s="424">
        <v>29.5</v>
      </c>
      <c r="N139" s="425">
        <f t="shared" si="38"/>
        <v>169243.56500000003</v>
      </c>
      <c r="O139" s="425">
        <f t="shared" si="39"/>
        <v>3191061.6012599999</v>
      </c>
      <c r="P139" s="425">
        <f t="shared" si="40"/>
        <v>824630.95691523631</v>
      </c>
      <c r="R139" s="425">
        <f t="shared" si="44"/>
        <v>43735.753299964177</v>
      </c>
    </row>
    <row r="140" spans="1:18" x14ac:dyDescent="0.3">
      <c r="A140" s="430">
        <v>21</v>
      </c>
      <c r="B140" s="420">
        <f t="shared" si="45"/>
        <v>2039</v>
      </c>
      <c r="C140" s="421">
        <v>10336</v>
      </c>
      <c r="D140" s="422">
        <f t="shared" si="46"/>
        <v>3772640</v>
      </c>
      <c r="E140" s="423">
        <v>1.1000000000000001</v>
      </c>
      <c r="F140" s="429">
        <v>2.9000000000000001E-2</v>
      </c>
      <c r="G140" s="424">
        <f t="shared" si="42"/>
        <v>27.722000000000001</v>
      </c>
      <c r="H140" s="425">
        <f t="shared" si="37"/>
        <v>3032968.6563200005</v>
      </c>
      <c r="I140" s="426">
        <v>544</v>
      </c>
      <c r="J140" s="427">
        <f t="shared" si="47"/>
        <v>198560</v>
      </c>
      <c r="K140" s="423">
        <v>1.1000000000000001</v>
      </c>
      <c r="L140" s="429">
        <v>2.9000000000000001E-2</v>
      </c>
      <c r="M140" s="424">
        <v>29.5</v>
      </c>
      <c r="N140" s="425">
        <f t="shared" si="38"/>
        <v>169868.08000000002</v>
      </c>
      <c r="O140" s="425">
        <f t="shared" si="39"/>
        <v>3202836.7363200006</v>
      </c>
      <c r="P140" s="425">
        <f t="shared" si="40"/>
        <v>773526.98651910305</v>
      </c>
      <c r="R140" s="425">
        <f t="shared" si="44"/>
        <v>41025.364339725675</v>
      </c>
    </row>
    <row r="141" spans="1:18" x14ac:dyDescent="0.3">
      <c r="A141" s="430">
        <v>22</v>
      </c>
      <c r="B141" s="420">
        <f t="shared" si="45"/>
        <v>2040</v>
      </c>
      <c r="C141" s="421">
        <v>10383.5</v>
      </c>
      <c r="D141" s="422">
        <f t="shared" si="46"/>
        <v>3789977.5</v>
      </c>
      <c r="E141" s="423">
        <v>1.1000000000000001</v>
      </c>
      <c r="F141" s="429">
        <v>2.9000000000000001E-2</v>
      </c>
      <c r="G141" s="424">
        <f t="shared" si="42"/>
        <v>27.722000000000001</v>
      </c>
      <c r="H141" s="425">
        <f t="shared" si="37"/>
        <v>3046906.9313950003</v>
      </c>
      <c r="I141" s="426">
        <v>546.5</v>
      </c>
      <c r="J141" s="427">
        <f t="shared" si="47"/>
        <v>199472.5</v>
      </c>
      <c r="K141" s="423">
        <v>1.1000000000000001</v>
      </c>
      <c r="L141" s="429">
        <v>2.9000000000000001E-2</v>
      </c>
      <c r="M141" s="424">
        <v>29.5</v>
      </c>
      <c r="N141" s="425">
        <f t="shared" si="38"/>
        <v>170648.72375</v>
      </c>
      <c r="O141" s="425">
        <f t="shared" si="39"/>
        <v>3217555.6551450002</v>
      </c>
      <c r="P141" s="425">
        <f t="shared" si="40"/>
        <v>726244.67106358195</v>
      </c>
      <c r="R141" s="425">
        <f t="shared" si="44"/>
        <v>38517.663571433623</v>
      </c>
    </row>
    <row r="142" spans="1:18" x14ac:dyDescent="0.3">
      <c r="A142" s="430">
        <v>23</v>
      </c>
      <c r="B142" s="420">
        <f t="shared" si="45"/>
        <v>2041</v>
      </c>
      <c r="C142" s="421">
        <v>10431</v>
      </c>
      <c r="D142" s="422">
        <f t="shared" si="46"/>
        <v>3807315</v>
      </c>
      <c r="E142" s="423">
        <v>1.1000000000000001</v>
      </c>
      <c r="F142" s="429">
        <v>2.9000000000000001E-2</v>
      </c>
      <c r="G142" s="424">
        <f t="shared" si="42"/>
        <v>27.722000000000001</v>
      </c>
      <c r="H142" s="425">
        <f t="shared" si="37"/>
        <v>3060845.2064700006</v>
      </c>
      <c r="I142" s="426">
        <v>549</v>
      </c>
      <c r="J142" s="427">
        <f t="shared" si="47"/>
        <v>200385</v>
      </c>
      <c r="K142" s="423">
        <v>1.1000000000000001</v>
      </c>
      <c r="L142" s="429">
        <v>2.9000000000000001E-2</v>
      </c>
      <c r="M142" s="424">
        <v>29.5</v>
      </c>
      <c r="N142" s="425">
        <f t="shared" si="38"/>
        <v>171429.36749999999</v>
      </c>
      <c r="O142" s="425">
        <f t="shared" si="39"/>
        <v>3232274.5739700007</v>
      </c>
      <c r="P142" s="425">
        <f t="shared" si="40"/>
        <v>681838.24749494495</v>
      </c>
      <c r="R142" s="425">
        <f t="shared" si="44"/>
        <v>36162.490787965995</v>
      </c>
    </row>
    <row r="143" spans="1:18" x14ac:dyDescent="0.3">
      <c r="A143" s="430">
        <v>24</v>
      </c>
      <c r="B143" s="420">
        <f t="shared" si="45"/>
        <v>2042</v>
      </c>
      <c r="C143" s="421">
        <v>10478.5</v>
      </c>
      <c r="D143" s="422">
        <f t="shared" si="46"/>
        <v>3824652.5</v>
      </c>
      <c r="E143" s="423">
        <v>1.1000000000000001</v>
      </c>
      <c r="F143" s="429">
        <v>2.9000000000000001E-2</v>
      </c>
      <c r="G143" s="424">
        <f t="shared" si="42"/>
        <v>27.722000000000001</v>
      </c>
      <c r="H143" s="425">
        <f t="shared" si="37"/>
        <v>3074783.4815450003</v>
      </c>
      <c r="I143" s="426">
        <v>551.5</v>
      </c>
      <c r="J143" s="427">
        <f t="shared" si="47"/>
        <v>201297.5</v>
      </c>
      <c r="K143" s="423">
        <v>1.1000000000000001</v>
      </c>
      <c r="L143" s="429">
        <v>2.9000000000000001E-2</v>
      </c>
      <c r="M143" s="424">
        <v>29.5</v>
      </c>
      <c r="N143" s="425">
        <f t="shared" si="38"/>
        <v>172210.01125000001</v>
      </c>
      <c r="O143" s="425">
        <f t="shared" si="39"/>
        <v>3246993.4927950003</v>
      </c>
      <c r="P143" s="425">
        <f t="shared" si="40"/>
        <v>640133.79210027074</v>
      </c>
      <c r="R143" s="425">
        <f t="shared" si="44"/>
        <v>33950.6216392817</v>
      </c>
    </row>
    <row r="144" spans="1:18" x14ac:dyDescent="0.3">
      <c r="A144" s="430">
        <v>25</v>
      </c>
      <c r="B144" s="420">
        <f t="shared" si="45"/>
        <v>2043</v>
      </c>
      <c r="C144" s="421">
        <v>10526</v>
      </c>
      <c r="D144" s="422">
        <f t="shared" si="46"/>
        <v>3841990</v>
      </c>
      <c r="E144" s="423">
        <v>1.1000000000000001</v>
      </c>
      <c r="F144" s="429">
        <v>2.9000000000000001E-2</v>
      </c>
      <c r="G144" s="424">
        <f t="shared" si="42"/>
        <v>27.722000000000001</v>
      </c>
      <c r="H144" s="425">
        <f t="shared" si="37"/>
        <v>3088721.7566200001</v>
      </c>
      <c r="I144" s="426">
        <v>554</v>
      </c>
      <c r="J144" s="427">
        <f t="shared" si="47"/>
        <v>202210</v>
      </c>
      <c r="K144" s="423">
        <v>1.1000000000000001</v>
      </c>
      <c r="L144" s="429">
        <v>2.9000000000000001E-2</v>
      </c>
      <c r="M144" s="424">
        <v>29.5</v>
      </c>
      <c r="N144" s="425">
        <f t="shared" si="38"/>
        <v>172990.655</v>
      </c>
      <c r="O144" s="425">
        <f t="shared" si="39"/>
        <v>3261712.4116199999</v>
      </c>
      <c r="P144" s="425">
        <f t="shared" si="40"/>
        <v>600967.82915506558</v>
      </c>
      <c r="R144" s="425">
        <f t="shared" si="44"/>
        <v>31873.385902783502</v>
      </c>
    </row>
    <row r="145" spans="1:18" x14ac:dyDescent="0.3">
      <c r="A145" s="430">
        <v>26</v>
      </c>
      <c r="B145" s="420">
        <f t="shared" si="45"/>
        <v>2044</v>
      </c>
      <c r="C145" s="421">
        <v>10573.5</v>
      </c>
      <c r="D145" s="422">
        <f t="shared" si="46"/>
        <v>3859327.5</v>
      </c>
      <c r="E145" s="423">
        <v>1.1000000000000001</v>
      </c>
      <c r="F145" s="429">
        <v>2.9000000000000001E-2</v>
      </c>
      <c r="G145" s="424">
        <f t="shared" si="42"/>
        <v>27.722000000000001</v>
      </c>
      <c r="H145" s="425">
        <f t="shared" si="37"/>
        <v>3102660.0316950004</v>
      </c>
      <c r="I145" s="426">
        <v>556.5</v>
      </c>
      <c r="J145" s="427">
        <f t="shared" si="47"/>
        <v>203122.5</v>
      </c>
      <c r="K145" s="423">
        <v>1.1000000000000001</v>
      </c>
      <c r="L145" s="429">
        <v>2.9000000000000001E-2</v>
      </c>
      <c r="M145" s="424">
        <v>29.5</v>
      </c>
      <c r="N145" s="425">
        <f t="shared" si="38"/>
        <v>173771.29875000002</v>
      </c>
      <c r="O145" s="425">
        <f t="shared" si="39"/>
        <v>3276431.3304450004</v>
      </c>
      <c r="P145" s="425">
        <f t="shared" si="40"/>
        <v>564186.70826410141</v>
      </c>
      <c r="R145" s="425">
        <f t="shared" si="44"/>
        <v>29922.634459494286</v>
      </c>
    </row>
    <row r="146" spans="1:18" x14ac:dyDescent="0.3">
      <c r="A146" s="430">
        <v>27</v>
      </c>
      <c r="B146" s="420">
        <f t="shared" si="45"/>
        <v>2045</v>
      </c>
      <c r="C146" s="421">
        <v>10621</v>
      </c>
      <c r="D146" s="422">
        <f t="shared" si="46"/>
        <v>3876665</v>
      </c>
      <c r="E146" s="423">
        <v>1.1000000000000001</v>
      </c>
      <c r="F146" s="429">
        <v>2.9000000000000001E-2</v>
      </c>
      <c r="G146" s="424">
        <f t="shared" si="42"/>
        <v>27.722000000000001</v>
      </c>
      <c r="H146" s="425">
        <f t="shared" si="37"/>
        <v>3116598.3067700001</v>
      </c>
      <c r="I146" s="426">
        <v>559</v>
      </c>
      <c r="J146" s="427">
        <f t="shared" si="47"/>
        <v>204035</v>
      </c>
      <c r="K146" s="423">
        <v>1.1000000000000001</v>
      </c>
      <c r="L146" s="429">
        <v>2.9000000000000001E-2</v>
      </c>
      <c r="M146" s="424">
        <v>29.5</v>
      </c>
      <c r="N146" s="425">
        <f t="shared" si="38"/>
        <v>174551.9425</v>
      </c>
      <c r="O146" s="425">
        <f t="shared" si="39"/>
        <v>3291150.24927</v>
      </c>
      <c r="P146" s="425">
        <f t="shared" si="40"/>
        <v>529646.01845585741</v>
      </c>
      <c r="R146" s="425">
        <f t="shared" si="44"/>
        <v>28090.70821952507</v>
      </c>
    </row>
    <row r="147" spans="1:18" x14ac:dyDescent="0.3">
      <c r="A147" s="430">
        <v>28</v>
      </c>
      <c r="B147" s="420">
        <f t="shared" si="45"/>
        <v>2046</v>
      </c>
      <c r="C147" s="421">
        <v>10668.5</v>
      </c>
      <c r="D147" s="422">
        <f t="shared" si="46"/>
        <v>3894002.5</v>
      </c>
      <c r="E147" s="423">
        <v>1.1000000000000001</v>
      </c>
      <c r="F147" s="429">
        <v>2.9000000000000001E-2</v>
      </c>
      <c r="G147" s="424">
        <f t="shared" si="42"/>
        <v>27.722000000000001</v>
      </c>
      <c r="H147" s="425">
        <f t="shared" si="37"/>
        <v>3130536.5818450004</v>
      </c>
      <c r="I147" s="426">
        <v>561.5</v>
      </c>
      <c r="J147" s="427">
        <f t="shared" si="47"/>
        <v>204947.5</v>
      </c>
      <c r="K147" s="423">
        <v>1.1000000000000001</v>
      </c>
      <c r="L147" s="429">
        <v>2.9000000000000001E-2</v>
      </c>
      <c r="M147" s="424">
        <v>29.5</v>
      </c>
      <c r="N147" s="425">
        <f t="shared" si="38"/>
        <v>175332.58624999999</v>
      </c>
      <c r="O147" s="425">
        <f t="shared" si="39"/>
        <v>3305869.1680950006</v>
      </c>
      <c r="P147" s="425">
        <f t="shared" si="40"/>
        <v>497210.03688656993</v>
      </c>
      <c r="R147" s="425">
        <f t="shared" si="44"/>
        <v>26370.408883124619</v>
      </c>
    </row>
    <row r="148" spans="1:18" x14ac:dyDescent="0.3">
      <c r="A148" s="430">
        <v>29</v>
      </c>
      <c r="B148" s="420">
        <f t="shared" si="45"/>
        <v>2047</v>
      </c>
      <c r="C148" s="421">
        <v>10716</v>
      </c>
      <c r="D148" s="422">
        <f t="shared" si="46"/>
        <v>3911340</v>
      </c>
      <c r="E148" s="423">
        <v>1.1000000000000001</v>
      </c>
      <c r="F148" s="429">
        <v>2.9000000000000001E-2</v>
      </c>
      <c r="G148" s="424">
        <f t="shared" si="42"/>
        <v>27.722000000000001</v>
      </c>
      <c r="H148" s="425">
        <f t="shared" si="37"/>
        <v>3144474.8569200002</v>
      </c>
      <c r="I148" s="426">
        <v>564</v>
      </c>
      <c r="J148" s="427">
        <f t="shared" si="47"/>
        <v>205860</v>
      </c>
      <c r="K148" s="423">
        <v>1.1000000000000001</v>
      </c>
      <c r="L148" s="429">
        <v>2.9000000000000001E-2</v>
      </c>
      <c r="M148" s="424">
        <v>29.5</v>
      </c>
      <c r="N148" s="425">
        <f t="shared" si="38"/>
        <v>176113.23</v>
      </c>
      <c r="O148" s="425">
        <f t="shared" si="39"/>
        <v>3320588.0869200001</v>
      </c>
      <c r="P148" s="425">
        <f t="shared" si="40"/>
        <v>466751.21013311372</v>
      </c>
      <c r="R148" s="425">
        <f t="shared" si="44"/>
        <v>24754.971430135047</v>
      </c>
    </row>
    <row r="149" spans="1:18" x14ac:dyDescent="0.3">
      <c r="A149" s="430">
        <f>1+A148</f>
        <v>30</v>
      </c>
      <c r="B149" s="420">
        <f t="shared" si="45"/>
        <v>2048</v>
      </c>
      <c r="C149" s="421">
        <v>10763.5</v>
      </c>
      <c r="D149" s="422">
        <f t="shared" si="46"/>
        <v>3928677.5</v>
      </c>
      <c r="E149" s="423">
        <v>1.1000000000000001</v>
      </c>
      <c r="F149" s="429">
        <v>2.9000000000000001E-2</v>
      </c>
      <c r="G149" s="424">
        <f t="shared" si="42"/>
        <v>27.722000000000001</v>
      </c>
      <c r="H149" s="425">
        <f t="shared" si="37"/>
        <v>3158413.1319950004</v>
      </c>
      <c r="I149" s="426">
        <v>566.5</v>
      </c>
      <c r="J149" s="427">
        <f t="shared" si="47"/>
        <v>206772.5</v>
      </c>
      <c r="K149" s="423">
        <v>1.1000000000000001</v>
      </c>
      <c r="L149" s="429">
        <v>2.9000000000000001E-2</v>
      </c>
      <c r="M149" s="424">
        <v>29.5</v>
      </c>
      <c r="N149" s="425">
        <f t="shared" si="38"/>
        <v>176893.87375</v>
      </c>
      <c r="O149" s="425">
        <f t="shared" si="39"/>
        <v>3335307.0057450002</v>
      </c>
      <c r="P149" s="425">
        <f t="shared" si="40"/>
        <v>438149.66617022757</v>
      </c>
      <c r="R149" s="425">
        <f t="shared" si="44"/>
        <v>23238.03823684547</v>
      </c>
    </row>
    <row r="150" spans="1:18" x14ac:dyDescent="0.3">
      <c r="A150" s="430">
        <f>1+A149</f>
        <v>31</v>
      </c>
      <c r="B150" s="431">
        <f t="shared" si="45"/>
        <v>2049</v>
      </c>
      <c r="C150" s="421">
        <v>10763.5</v>
      </c>
      <c r="D150" s="427">
        <f t="shared" si="46"/>
        <v>3928677.5</v>
      </c>
      <c r="E150" s="423">
        <v>1.1000000000000001</v>
      </c>
      <c r="F150" s="429">
        <v>2.9000000000000001E-2</v>
      </c>
      <c r="G150" s="424">
        <f t="shared" si="42"/>
        <v>27.722000000000001</v>
      </c>
      <c r="H150" s="425">
        <f t="shared" si="37"/>
        <v>3158413.1319950004</v>
      </c>
      <c r="I150" s="426">
        <v>566.5</v>
      </c>
      <c r="J150" s="427">
        <f t="shared" si="47"/>
        <v>206772.5</v>
      </c>
      <c r="K150" s="423">
        <v>1.1000000000000001</v>
      </c>
      <c r="L150" s="429">
        <v>2.9000000000000001E-2</v>
      </c>
      <c r="M150" s="424">
        <v>29.5</v>
      </c>
      <c r="N150" s="425">
        <f t="shared" si="38"/>
        <v>176893.87375</v>
      </c>
      <c r="O150" s="425">
        <f t="shared" si="39"/>
        <v>3335307.0057450002</v>
      </c>
      <c r="P150" s="425">
        <f t="shared" si="40"/>
        <v>409485.66931796964</v>
      </c>
      <c r="R150" s="425">
        <f t="shared" si="44"/>
        <v>21717.792744715385</v>
      </c>
    </row>
    <row r="151" spans="1:18" x14ac:dyDescent="0.3">
      <c r="A151" s="568" t="s">
        <v>11</v>
      </c>
      <c r="B151" s="569"/>
      <c r="C151" s="569"/>
      <c r="D151" s="569"/>
      <c r="E151" s="569"/>
      <c r="F151" s="569"/>
      <c r="G151" s="569"/>
      <c r="H151" s="569"/>
      <c r="I151" s="569"/>
      <c r="J151" s="569"/>
      <c r="K151" s="569"/>
      <c r="L151" s="569"/>
      <c r="M151" s="569"/>
      <c r="N151" s="569"/>
      <c r="O151" s="570"/>
      <c r="P151" s="432">
        <f>SUM(P119:P148)</f>
        <v>23425887.236282405</v>
      </c>
      <c r="R151" s="432">
        <f>SUM(R119:R148)</f>
        <v>1242433.1349764501</v>
      </c>
    </row>
    <row r="153" spans="1:18" x14ac:dyDescent="0.25">
      <c r="A153" s="567" t="s">
        <v>178</v>
      </c>
      <c r="B153" s="567"/>
      <c r="C153" s="567"/>
      <c r="D153" s="567"/>
      <c r="E153" s="567"/>
      <c r="F153" s="567"/>
      <c r="G153" s="567"/>
      <c r="H153" s="567"/>
      <c r="I153" s="567"/>
      <c r="J153" s="567"/>
      <c r="K153" s="567"/>
      <c r="L153" s="567"/>
      <c r="M153" s="567"/>
      <c r="N153" s="567"/>
      <c r="O153" s="567"/>
      <c r="P153" s="567"/>
      <c r="R153" s="191"/>
    </row>
    <row r="154" spans="1:18" x14ac:dyDescent="0.3">
      <c r="A154" s="415" t="s">
        <v>145</v>
      </c>
      <c r="B154" s="415" t="s">
        <v>146</v>
      </c>
      <c r="C154" s="415" t="s">
        <v>147</v>
      </c>
      <c r="D154" s="415" t="s">
        <v>148</v>
      </c>
      <c r="E154" s="415" t="s">
        <v>149</v>
      </c>
      <c r="F154" s="415" t="s">
        <v>150</v>
      </c>
      <c r="G154" s="415" t="s">
        <v>151</v>
      </c>
      <c r="H154" s="415" t="s">
        <v>152</v>
      </c>
      <c r="I154" s="415" t="s">
        <v>153</v>
      </c>
      <c r="J154" s="415" t="s">
        <v>154</v>
      </c>
      <c r="K154" s="415" t="s">
        <v>155</v>
      </c>
      <c r="L154" s="415" t="s">
        <v>88</v>
      </c>
      <c r="M154" s="415" t="s">
        <v>156</v>
      </c>
      <c r="N154" s="415" t="s">
        <v>157</v>
      </c>
      <c r="O154" s="415" t="s">
        <v>158</v>
      </c>
      <c r="P154" s="415" t="s">
        <v>159</v>
      </c>
      <c r="R154" s="415" t="s">
        <v>160</v>
      </c>
    </row>
    <row r="155" spans="1:18" ht="100.8" x14ac:dyDescent="0.3">
      <c r="A155" s="416" t="s">
        <v>29</v>
      </c>
      <c r="B155" s="417" t="s">
        <v>30</v>
      </c>
      <c r="C155" s="433" t="s">
        <v>161</v>
      </c>
      <c r="D155" s="417" t="s">
        <v>162</v>
      </c>
      <c r="E155" s="417" t="s">
        <v>163</v>
      </c>
      <c r="F155" s="417" t="s">
        <v>164</v>
      </c>
      <c r="G155" s="417" t="s">
        <v>165</v>
      </c>
      <c r="H155" s="417" t="s">
        <v>166</v>
      </c>
      <c r="I155" s="417" t="s">
        <v>167</v>
      </c>
      <c r="J155" s="417" t="s">
        <v>168</v>
      </c>
      <c r="K155" s="417" t="s">
        <v>169</v>
      </c>
      <c r="L155" s="417" t="s">
        <v>164</v>
      </c>
      <c r="M155" s="417" t="s">
        <v>170</v>
      </c>
      <c r="N155" s="417" t="s">
        <v>171</v>
      </c>
      <c r="O155" s="417" t="s">
        <v>172</v>
      </c>
      <c r="P155" s="416" t="s">
        <v>32</v>
      </c>
      <c r="R155" s="417" t="s">
        <v>173</v>
      </c>
    </row>
    <row r="156" spans="1:18" x14ac:dyDescent="0.3">
      <c r="A156" s="419">
        <v>0</v>
      </c>
      <c r="B156" s="420">
        <v>2018</v>
      </c>
      <c r="C156" s="421">
        <v>13557.5</v>
      </c>
      <c r="D156" s="422">
        <f>C156*365</f>
        <v>4948487.5</v>
      </c>
      <c r="E156" s="423">
        <v>0</v>
      </c>
      <c r="F156" s="423">
        <v>0</v>
      </c>
      <c r="G156" s="424">
        <f>1.67*16.6</f>
        <v>27.722000000000001</v>
      </c>
      <c r="H156" s="425">
        <f t="shared" ref="H156:H187" si="48">D156*F156*G156</f>
        <v>0</v>
      </c>
      <c r="I156" s="426">
        <v>2392.5</v>
      </c>
      <c r="J156" s="427">
        <f>I156*365</f>
        <v>873262.5</v>
      </c>
      <c r="K156" s="423">
        <v>0</v>
      </c>
      <c r="L156" s="423">
        <v>0</v>
      </c>
      <c r="M156" s="424">
        <v>29.5</v>
      </c>
      <c r="N156" s="425">
        <f t="shared" ref="N156:N187" si="49">J156*L156*M156</f>
        <v>0</v>
      </c>
      <c r="O156" s="425">
        <f t="shared" ref="O156:O187" si="50">H156+N156</f>
        <v>0</v>
      </c>
      <c r="P156" s="425">
        <f t="shared" ref="P156:P187" si="51">O156/(1+0.07)^A156</f>
        <v>0</v>
      </c>
      <c r="R156" s="425">
        <f>N156/(1+0.07)^A156</f>
        <v>0</v>
      </c>
    </row>
    <row r="157" spans="1:18" x14ac:dyDescent="0.3">
      <c r="A157" s="419">
        <v>1</v>
      </c>
      <c r="B157" s="420">
        <f>1+B156</f>
        <v>2019</v>
      </c>
      <c r="C157" s="421">
        <v>13625.5</v>
      </c>
      <c r="D157" s="422">
        <f t="shared" ref="D157:D165" si="52">C157*365</f>
        <v>4973307.5</v>
      </c>
      <c r="E157" s="423">
        <v>0</v>
      </c>
      <c r="F157" s="423">
        <v>0</v>
      </c>
      <c r="G157" s="424">
        <f t="shared" ref="G157:G187" si="53">1.67*16.6</f>
        <v>27.722000000000001</v>
      </c>
      <c r="H157" s="425">
        <f t="shared" si="48"/>
        <v>0</v>
      </c>
      <c r="I157" s="426">
        <v>2404.5</v>
      </c>
      <c r="J157" s="427">
        <f t="shared" ref="J157:J165" si="54">I157*365</f>
        <v>877642.5</v>
      </c>
      <c r="K157" s="423">
        <v>0</v>
      </c>
      <c r="L157" s="423">
        <v>0</v>
      </c>
      <c r="M157" s="424">
        <v>29.5</v>
      </c>
      <c r="N157" s="425">
        <f t="shared" si="49"/>
        <v>0</v>
      </c>
      <c r="O157" s="425">
        <f t="shared" si="50"/>
        <v>0</v>
      </c>
      <c r="P157" s="425">
        <f t="shared" si="51"/>
        <v>0</v>
      </c>
      <c r="R157" s="425">
        <f t="shared" ref="R157:R187" si="55">N157/(1+0.07)^A157</f>
        <v>0</v>
      </c>
    </row>
    <row r="158" spans="1:18" x14ac:dyDescent="0.3">
      <c r="A158" s="419">
        <v>2</v>
      </c>
      <c r="B158" s="420">
        <f t="shared" ref="B158:B187" si="56">1+B157</f>
        <v>2020</v>
      </c>
      <c r="C158" s="421">
        <v>13693.5</v>
      </c>
      <c r="D158" s="422">
        <f t="shared" si="52"/>
        <v>4998127.5</v>
      </c>
      <c r="E158" s="423">
        <v>0</v>
      </c>
      <c r="F158" s="423">
        <v>0</v>
      </c>
      <c r="G158" s="424">
        <f t="shared" si="53"/>
        <v>27.722000000000001</v>
      </c>
      <c r="H158" s="425">
        <f t="shared" si="48"/>
        <v>0</v>
      </c>
      <c r="I158" s="426">
        <v>2416.5</v>
      </c>
      <c r="J158" s="427">
        <f t="shared" si="54"/>
        <v>882022.5</v>
      </c>
      <c r="K158" s="423">
        <v>0</v>
      </c>
      <c r="L158" s="423">
        <v>0</v>
      </c>
      <c r="M158" s="424">
        <v>29.5</v>
      </c>
      <c r="N158" s="425">
        <f t="shared" si="49"/>
        <v>0</v>
      </c>
      <c r="O158" s="425">
        <f t="shared" si="50"/>
        <v>0</v>
      </c>
      <c r="P158" s="425">
        <f t="shared" si="51"/>
        <v>0</v>
      </c>
      <c r="R158" s="425">
        <f t="shared" si="55"/>
        <v>0</v>
      </c>
    </row>
    <row r="159" spans="1:18" x14ac:dyDescent="0.3">
      <c r="A159" s="419">
        <v>3</v>
      </c>
      <c r="B159" s="420">
        <f t="shared" si="56"/>
        <v>2021</v>
      </c>
      <c r="C159" s="421">
        <v>13770</v>
      </c>
      <c r="D159" s="422">
        <f t="shared" si="52"/>
        <v>5026050</v>
      </c>
      <c r="E159" s="423">
        <v>0</v>
      </c>
      <c r="F159" s="423">
        <v>0</v>
      </c>
      <c r="G159" s="424">
        <f t="shared" si="53"/>
        <v>27.722000000000001</v>
      </c>
      <c r="H159" s="425">
        <f t="shared" si="48"/>
        <v>0</v>
      </c>
      <c r="I159" s="426">
        <v>2430</v>
      </c>
      <c r="J159" s="427">
        <f t="shared" si="54"/>
        <v>886950</v>
      </c>
      <c r="K159" s="423">
        <v>0</v>
      </c>
      <c r="L159" s="423">
        <v>0</v>
      </c>
      <c r="M159" s="424">
        <v>29.5</v>
      </c>
      <c r="N159" s="425">
        <f t="shared" si="49"/>
        <v>0</v>
      </c>
      <c r="O159" s="425">
        <f t="shared" si="50"/>
        <v>0</v>
      </c>
      <c r="P159" s="425">
        <f t="shared" si="51"/>
        <v>0</v>
      </c>
      <c r="R159" s="425">
        <f t="shared" si="55"/>
        <v>0</v>
      </c>
    </row>
    <row r="160" spans="1:18" x14ac:dyDescent="0.3">
      <c r="A160" s="419">
        <v>4</v>
      </c>
      <c r="B160" s="420">
        <f t="shared" si="56"/>
        <v>2022</v>
      </c>
      <c r="C160" s="421">
        <v>13838</v>
      </c>
      <c r="D160" s="422">
        <f t="shared" si="52"/>
        <v>5050870</v>
      </c>
      <c r="E160" s="423">
        <v>0</v>
      </c>
      <c r="F160" s="423">
        <v>0</v>
      </c>
      <c r="G160" s="424">
        <f t="shared" si="53"/>
        <v>27.722000000000001</v>
      </c>
      <c r="H160" s="425">
        <f t="shared" si="48"/>
        <v>0</v>
      </c>
      <c r="I160" s="426">
        <v>2442</v>
      </c>
      <c r="J160" s="427">
        <f t="shared" si="54"/>
        <v>891330</v>
      </c>
      <c r="K160" s="423">
        <v>0</v>
      </c>
      <c r="L160" s="423">
        <v>0</v>
      </c>
      <c r="M160" s="424">
        <v>29.5</v>
      </c>
      <c r="N160" s="425">
        <f t="shared" si="49"/>
        <v>0</v>
      </c>
      <c r="O160" s="425">
        <f t="shared" si="50"/>
        <v>0</v>
      </c>
      <c r="P160" s="425">
        <f t="shared" si="51"/>
        <v>0</v>
      </c>
      <c r="R160" s="425">
        <f t="shared" si="55"/>
        <v>0</v>
      </c>
    </row>
    <row r="161" spans="1:18" x14ac:dyDescent="0.3">
      <c r="A161" s="419">
        <v>5</v>
      </c>
      <c r="B161" s="420">
        <f t="shared" si="56"/>
        <v>2023</v>
      </c>
      <c r="C161" s="421">
        <v>13906</v>
      </c>
      <c r="D161" s="422">
        <f t="shared" si="52"/>
        <v>5075690</v>
      </c>
      <c r="E161" s="423">
        <v>0</v>
      </c>
      <c r="F161" s="423">
        <v>0</v>
      </c>
      <c r="G161" s="424">
        <f t="shared" si="53"/>
        <v>27.722000000000001</v>
      </c>
      <c r="H161" s="425">
        <f t="shared" si="48"/>
        <v>0</v>
      </c>
      <c r="I161" s="426">
        <v>2454</v>
      </c>
      <c r="J161" s="427">
        <f t="shared" si="54"/>
        <v>895710</v>
      </c>
      <c r="K161" s="423">
        <v>0</v>
      </c>
      <c r="L161" s="423">
        <v>0</v>
      </c>
      <c r="M161" s="424">
        <v>29.5</v>
      </c>
      <c r="N161" s="425">
        <f t="shared" si="49"/>
        <v>0</v>
      </c>
      <c r="O161" s="425">
        <f t="shared" si="50"/>
        <v>0</v>
      </c>
      <c r="P161" s="425">
        <f t="shared" si="51"/>
        <v>0</v>
      </c>
      <c r="R161" s="425">
        <f t="shared" si="55"/>
        <v>0</v>
      </c>
    </row>
    <row r="162" spans="1:18" x14ac:dyDescent="0.3">
      <c r="A162" s="419">
        <v>6</v>
      </c>
      <c r="B162" s="420">
        <f t="shared" si="56"/>
        <v>2024</v>
      </c>
      <c r="C162" s="421">
        <v>13974</v>
      </c>
      <c r="D162" s="422">
        <f t="shared" si="52"/>
        <v>5100510</v>
      </c>
      <c r="E162" s="423">
        <v>0</v>
      </c>
      <c r="F162" s="423">
        <v>0</v>
      </c>
      <c r="G162" s="424">
        <f t="shared" si="53"/>
        <v>27.722000000000001</v>
      </c>
      <c r="H162" s="425">
        <f t="shared" si="48"/>
        <v>0</v>
      </c>
      <c r="I162" s="426">
        <v>2466</v>
      </c>
      <c r="J162" s="427">
        <f t="shared" si="54"/>
        <v>900090</v>
      </c>
      <c r="K162" s="423">
        <v>0</v>
      </c>
      <c r="L162" s="423">
        <v>0</v>
      </c>
      <c r="M162" s="424">
        <v>29.5</v>
      </c>
      <c r="N162" s="425">
        <f t="shared" si="49"/>
        <v>0</v>
      </c>
      <c r="O162" s="425">
        <f t="shared" si="50"/>
        <v>0</v>
      </c>
      <c r="P162" s="425">
        <f t="shared" si="51"/>
        <v>0</v>
      </c>
      <c r="R162" s="425">
        <f t="shared" si="55"/>
        <v>0</v>
      </c>
    </row>
    <row r="163" spans="1:18" x14ac:dyDescent="0.3">
      <c r="A163" s="419">
        <v>7</v>
      </c>
      <c r="B163" s="420">
        <f t="shared" si="56"/>
        <v>2025</v>
      </c>
      <c r="C163" s="421">
        <v>14042</v>
      </c>
      <c r="D163" s="422">
        <f t="shared" si="52"/>
        <v>5125330</v>
      </c>
      <c r="E163" s="423">
        <v>2.2000000000000002</v>
      </c>
      <c r="F163" s="429">
        <v>2.5999999999999999E-2</v>
      </c>
      <c r="G163" s="424">
        <f t="shared" si="53"/>
        <v>27.722000000000001</v>
      </c>
      <c r="H163" s="425">
        <f t="shared" si="48"/>
        <v>3694194.35476</v>
      </c>
      <c r="I163" s="426">
        <v>2478</v>
      </c>
      <c r="J163" s="427">
        <f t="shared" si="54"/>
        <v>904470</v>
      </c>
      <c r="K163" s="423">
        <v>2.2000000000000002</v>
      </c>
      <c r="L163" s="429">
        <v>2.5999999999999999E-2</v>
      </c>
      <c r="M163" s="424">
        <v>29.5</v>
      </c>
      <c r="N163" s="425">
        <f t="shared" si="49"/>
        <v>693728.48999999987</v>
      </c>
      <c r="O163" s="425">
        <f t="shared" si="50"/>
        <v>4387922.8447599998</v>
      </c>
      <c r="P163" s="425">
        <f t="shared" si="51"/>
        <v>2732577.8189837905</v>
      </c>
      <c r="R163" s="425">
        <f t="shared" si="55"/>
        <v>432019.23808548704</v>
      </c>
    </row>
    <row r="164" spans="1:18" x14ac:dyDescent="0.3">
      <c r="A164" s="419">
        <v>8</v>
      </c>
      <c r="B164" s="420">
        <f t="shared" si="56"/>
        <v>2026</v>
      </c>
      <c r="C164" s="421">
        <v>14118.5</v>
      </c>
      <c r="D164" s="422">
        <f t="shared" si="52"/>
        <v>5153252.5</v>
      </c>
      <c r="E164" s="423">
        <v>2.2000000000000002</v>
      </c>
      <c r="F164" s="429">
        <v>2.5999999999999999E-2</v>
      </c>
      <c r="G164" s="424">
        <f t="shared" si="53"/>
        <v>27.722000000000001</v>
      </c>
      <c r="H164" s="425">
        <f t="shared" si="48"/>
        <v>3714320.1109300004</v>
      </c>
      <c r="I164" s="426">
        <v>2491.5</v>
      </c>
      <c r="J164" s="427">
        <f t="shared" si="54"/>
        <v>909397.5</v>
      </c>
      <c r="K164" s="423">
        <v>2.2000000000000002</v>
      </c>
      <c r="L164" s="429">
        <v>2.5999999999999999E-2</v>
      </c>
      <c r="M164" s="424">
        <v>29.5</v>
      </c>
      <c r="N164" s="425">
        <f t="shared" si="49"/>
        <v>697507.88249999995</v>
      </c>
      <c r="O164" s="425">
        <f t="shared" si="50"/>
        <v>4411827.9934300007</v>
      </c>
      <c r="P164" s="425">
        <f t="shared" si="51"/>
        <v>2567724.0599511652</v>
      </c>
      <c r="R164" s="425">
        <f t="shared" si="55"/>
        <v>405955.93812088104</v>
      </c>
    </row>
    <row r="165" spans="1:18" x14ac:dyDescent="0.3">
      <c r="A165" s="419">
        <v>9</v>
      </c>
      <c r="B165" s="420">
        <f t="shared" si="56"/>
        <v>2027</v>
      </c>
      <c r="C165" s="421">
        <v>14186.5</v>
      </c>
      <c r="D165" s="422">
        <f t="shared" si="52"/>
        <v>5178072.5</v>
      </c>
      <c r="E165" s="423">
        <v>2.2000000000000002</v>
      </c>
      <c r="F165" s="429">
        <v>2.5999999999999999E-2</v>
      </c>
      <c r="G165" s="424">
        <f t="shared" si="53"/>
        <v>27.722000000000001</v>
      </c>
      <c r="H165" s="425">
        <f t="shared" si="48"/>
        <v>3732209.6719699996</v>
      </c>
      <c r="I165" s="426">
        <v>2503.5</v>
      </c>
      <c r="J165" s="427">
        <f t="shared" si="54"/>
        <v>913777.5</v>
      </c>
      <c r="K165" s="423">
        <v>2.2000000000000002</v>
      </c>
      <c r="L165" s="429">
        <v>2.5999999999999999E-2</v>
      </c>
      <c r="M165" s="424">
        <v>29.5</v>
      </c>
      <c r="N165" s="425">
        <f t="shared" si="49"/>
        <v>700867.34250000003</v>
      </c>
      <c r="O165" s="425">
        <f t="shared" si="50"/>
        <v>4433077.0144699998</v>
      </c>
      <c r="P165" s="425">
        <f t="shared" si="51"/>
        <v>2411300.1716444283</v>
      </c>
      <c r="R165" s="425">
        <f t="shared" si="55"/>
        <v>381225.39666103089</v>
      </c>
    </row>
    <row r="166" spans="1:18" x14ac:dyDescent="0.3">
      <c r="A166" s="419">
        <v>10</v>
      </c>
      <c r="B166" s="420">
        <f t="shared" si="56"/>
        <v>2028</v>
      </c>
      <c r="C166" s="421">
        <v>14254.5</v>
      </c>
      <c r="D166" s="422">
        <f>C166*365</f>
        <v>5202892.5</v>
      </c>
      <c r="E166" s="423">
        <v>2.2000000000000002</v>
      </c>
      <c r="F166" s="429">
        <v>2.5999999999999999E-2</v>
      </c>
      <c r="G166" s="424">
        <f t="shared" si="53"/>
        <v>27.722000000000001</v>
      </c>
      <c r="H166" s="425">
        <f t="shared" si="48"/>
        <v>3750099.2330099996</v>
      </c>
      <c r="I166" s="426">
        <v>2515.5</v>
      </c>
      <c r="J166" s="427">
        <f>I166*365</f>
        <v>918157.5</v>
      </c>
      <c r="K166" s="423">
        <v>2.2000000000000002</v>
      </c>
      <c r="L166" s="429">
        <v>2.5999999999999999E-2</v>
      </c>
      <c r="M166" s="424">
        <v>29.5</v>
      </c>
      <c r="N166" s="425">
        <f t="shared" si="49"/>
        <v>704226.80249999987</v>
      </c>
      <c r="O166" s="425">
        <f t="shared" si="50"/>
        <v>4454326.0355099998</v>
      </c>
      <c r="P166" s="425">
        <f t="shared" si="51"/>
        <v>2264353.4870887524</v>
      </c>
      <c r="R166" s="425">
        <f t="shared" si="55"/>
        <v>357993.19655317062</v>
      </c>
    </row>
    <row r="167" spans="1:18" x14ac:dyDescent="0.3">
      <c r="A167" s="419">
        <v>11</v>
      </c>
      <c r="B167" s="420">
        <f t="shared" si="56"/>
        <v>2029</v>
      </c>
      <c r="C167" s="421">
        <v>14322.5</v>
      </c>
      <c r="D167" s="422">
        <f t="shared" ref="D167:D187" si="57">C167*365</f>
        <v>5227712.5</v>
      </c>
      <c r="E167" s="423">
        <v>2.2000000000000002</v>
      </c>
      <c r="F167" s="429">
        <v>2.5999999999999999E-2</v>
      </c>
      <c r="G167" s="424">
        <f t="shared" si="53"/>
        <v>27.722000000000001</v>
      </c>
      <c r="H167" s="425">
        <f t="shared" si="48"/>
        <v>3767988.7940500001</v>
      </c>
      <c r="I167" s="426">
        <v>2527.5</v>
      </c>
      <c r="J167" s="427">
        <f t="shared" ref="J167:J187" si="58">I167*365</f>
        <v>922537.5</v>
      </c>
      <c r="K167" s="423">
        <v>2.2000000000000002</v>
      </c>
      <c r="L167" s="429">
        <v>2.5999999999999999E-2</v>
      </c>
      <c r="M167" s="424">
        <v>29.5</v>
      </c>
      <c r="N167" s="425">
        <f t="shared" si="49"/>
        <v>707586.26249999995</v>
      </c>
      <c r="O167" s="425">
        <f t="shared" si="50"/>
        <v>4475575.0565499999</v>
      </c>
      <c r="P167" s="425">
        <f t="shared" si="51"/>
        <v>2126313.4690588708</v>
      </c>
      <c r="R167" s="425">
        <f t="shared" si="55"/>
        <v>336169.13613656594</v>
      </c>
    </row>
    <row r="168" spans="1:18" x14ac:dyDescent="0.3">
      <c r="A168" s="419">
        <v>12</v>
      </c>
      <c r="B168" s="420">
        <f t="shared" si="56"/>
        <v>2030</v>
      </c>
      <c r="C168" s="421">
        <v>14390.5</v>
      </c>
      <c r="D168" s="422">
        <f t="shared" si="57"/>
        <v>5252532.5</v>
      </c>
      <c r="E168" s="423">
        <v>2.2000000000000002</v>
      </c>
      <c r="F168" s="429">
        <v>2.5999999999999999E-2</v>
      </c>
      <c r="G168" s="424">
        <f t="shared" si="53"/>
        <v>27.722000000000001</v>
      </c>
      <c r="H168" s="425">
        <f t="shared" si="48"/>
        <v>3785878.3550900002</v>
      </c>
      <c r="I168" s="426">
        <v>2539.5</v>
      </c>
      <c r="J168" s="427">
        <f t="shared" si="58"/>
        <v>926917.5</v>
      </c>
      <c r="K168" s="423">
        <v>2.2000000000000002</v>
      </c>
      <c r="L168" s="429">
        <v>2.5999999999999999E-2</v>
      </c>
      <c r="M168" s="424">
        <v>29.5</v>
      </c>
      <c r="N168" s="425">
        <f t="shared" si="49"/>
        <v>710945.72250000003</v>
      </c>
      <c r="O168" s="425">
        <f t="shared" si="50"/>
        <v>4496824.0775899999</v>
      </c>
      <c r="P168" s="425">
        <f t="shared" si="51"/>
        <v>1996643.6690516481</v>
      </c>
      <c r="R168" s="425">
        <f t="shared" si="55"/>
        <v>315668.40316104511</v>
      </c>
    </row>
    <row r="169" spans="1:18" x14ac:dyDescent="0.3">
      <c r="A169" s="419">
        <v>13</v>
      </c>
      <c r="B169" s="420">
        <f t="shared" si="56"/>
        <v>2031</v>
      </c>
      <c r="C169" s="421">
        <v>14458.5</v>
      </c>
      <c r="D169" s="422">
        <f t="shared" si="57"/>
        <v>5277352.5</v>
      </c>
      <c r="E169" s="423">
        <v>2.2000000000000002</v>
      </c>
      <c r="F169" s="429">
        <v>2.5999999999999999E-2</v>
      </c>
      <c r="G169" s="424">
        <f t="shared" si="53"/>
        <v>27.722000000000001</v>
      </c>
      <c r="H169" s="425">
        <f t="shared" si="48"/>
        <v>3803767.9161300003</v>
      </c>
      <c r="I169" s="426">
        <v>2551.5</v>
      </c>
      <c r="J169" s="427">
        <f t="shared" si="58"/>
        <v>931297.5</v>
      </c>
      <c r="K169" s="423">
        <v>2.2000000000000002</v>
      </c>
      <c r="L169" s="429">
        <v>2.5999999999999999E-2</v>
      </c>
      <c r="M169" s="424">
        <v>29.5</v>
      </c>
      <c r="N169" s="425">
        <f t="shared" si="49"/>
        <v>714305.1825</v>
      </c>
      <c r="O169" s="425">
        <f t="shared" si="50"/>
        <v>4518073.0986299999</v>
      </c>
      <c r="P169" s="425">
        <f t="shared" si="51"/>
        <v>1874839.7088930523</v>
      </c>
      <c r="R169" s="425">
        <f t="shared" si="55"/>
        <v>296411.25568003359</v>
      </c>
    </row>
    <row r="170" spans="1:18" x14ac:dyDescent="0.3">
      <c r="A170" s="419">
        <v>14</v>
      </c>
      <c r="B170" s="420">
        <f t="shared" si="56"/>
        <v>2032</v>
      </c>
      <c r="C170" s="421">
        <v>14535</v>
      </c>
      <c r="D170" s="422">
        <f t="shared" si="57"/>
        <v>5305275</v>
      </c>
      <c r="E170" s="423">
        <v>2.2000000000000002</v>
      </c>
      <c r="F170" s="429">
        <v>2.5999999999999999E-2</v>
      </c>
      <c r="G170" s="424">
        <f t="shared" si="53"/>
        <v>27.722000000000001</v>
      </c>
      <c r="H170" s="425">
        <f t="shared" si="48"/>
        <v>3823893.6723000002</v>
      </c>
      <c r="I170" s="426">
        <v>2565</v>
      </c>
      <c r="J170" s="427">
        <f t="shared" si="58"/>
        <v>936225</v>
      </c>
      <c r="K170" s="423">
        <v>2.2000000000000002</v>
      </c>
      <c r="L170" s="429">
        <v>2.5999999999999999E-2</v>
      </c>
      <c r="M170" s="424">
        <v>29.5</v>
      </c>
      <c r="N170" s="425">
        <f t="shared" si="49"/>
        <v>718084.57499999995</v>
      </c>
      <c r="O170" s="425">
        <f t="shared" si="50"/>
        <v>4541978.2472999999</v>
      </c>
      <c r="P170" s="425">
        <f t="shared" si="51"/>
        <v>1761457.4726285909</v>
      </c>
      <c r="R170" s="425">
        <f t="shared" si="55"/>
        <v>278485.57869359828</v>
      </c>
    </row>
    <row r="171" spans="1:18" x14ac:dyDescent="0.3">
      <c r="A171" s="419">
        <v>15</v>
      </c>
      <c r="B171" s="420">
        <f t="shared" si="56"/>
        <v>2033</v>
      </c>
      <c r="C171" s="421">
        <v>14603</v>
      </c>
      <c r="D171" s="422">
        <f t="shared" si="57"/>
        <v>5330095</v>
      </c>
      <c r="E171" s="423">
        <v>2.2000000000000002</v>
      </c>
      <c r="F171" s="429">
        <v>2.5999999999999999E-2</v>
      </c>
      <c r="G171" s="424">
        <f t="shared" si="53"/>
        <v>27.722000000000001</v>
      </c>
      <c r="H171" s="425">
        <f t="shared" si="48"/>
        <v>3841783.2333400003</v>
      </c>
      <c r="I171" s="426">
        <v>2577</v>
      </c>
      <c r="J171" s="427">
        <f t="shared" si="58"/>
        <v>940605</v>
      </c>
      <c r="K171" s="423">
        <v>2.2000000000000002</v>
      </c>
      <c r="L171" s="429">
        <v>2.5999999999999999E-2</v>
      </c>
      <c r="M171" s="424">
        <v>29.5</v>
      </c>
      <c r="N171" s="425">
        <f t="shared" si="49"/>
        <v>721444.03500000003</v>
      </c>
      <c r="O171" s="425">
        <f t="shared" si="50"/>
        <v>4563227.26834</v>
      </c>
      <c r="P171" s="425">
        <f t="shared" si="51"/>
        <v>1653923.560133311</v>
      </c>
      <c r="R171" s="425">
        <f t="shared" si="55"/>
        <v>261484.51888047322</v>
      </c>
    </row>
    <row r="172" spans="1:18" x14ac:dyDescent="0.3">
      <c r="A172" s="419">
        <v>16</v>
      </c>
      <c r="B172" s="420">
        <f t="shared" si="56"/>
        <v>2034</v>
      </c>
      <c r="C172" s="421">
        <v>14671</v>
      </c>
      <c r="D172" s="422">
        <f t="shared" si="57"/>
        <v>5354915</v>
      </c>
      <c r="E172" s="423">
        <v>2.2000000000000002</v>
      </c>
      <c r="F172" s="429">
        <v>2.5999999999999999E-2</v>
      </c>
      <c r="G172" s="424">
        <f t="shared" si="53"/>
        <v>27.722000000000001</v>
      </c>
      <c r="H172" s="425">
        <f t="shared" si="48"/>
        <v>3859672.7943800003</v>
      </c>
      <c r="I172" s="426">
        <v>2589</v>
      </c>
      <c r="J172" s="427">
        <f t="shared" si="58"/>
        <v>944985</v>
      </c>
      <c r="K172" s="423">
        <v>2.2000000000000002</v>
      </c>
      <c r="L172" s="429">
        <v>2.5999999999999999E-2</v>
      </c>
      <c r="M172" s="424">
        <v>29.5</v>
      </c>
      <c r="N172" s="425">
        <f t="shared" si="49"/>
        <v>724803.495</v>
      </c>
      <c r="O172" s="425">
        <f t="shared" si="50"/>
        <v>4584476.28938</v>
      </c>
      <c r="P172" s="425">
        <f t="shared" si="51"/>
        <v>1552920.7319911737</v>
      </c>
      <c r="R172" s="425">
        <f t="shared" si="55"/>
        <v>245516.02036039342</v>
      </c>
    </row>
    <row r="173" spans="1:18" x14ac:dyDescent="0.3">
      <c r="A173" s="419">
        <v>17</v>
      </c>
      <c r="B173" s="420">
        <f t="shared" si="56"/>
        <v>2035</v>
      </c>
      <c r="C173" s="421">
        <v>14739</v>
      </c>
      <c r="D173" s="422">
        <f t="shared" si="57"/>
        <v>5379735</v>
      </c>
      <c r="E173" s="423">
        <v>2.2000000000000002</v>
      </c>
      <c r="F173" s="429">
        <v>2.5999999999999999E-2</v>
      </c>
      <c r="G173" s="424">
        <f t="shared" si="53"/>
        <v>27.722000000000001</v>
      </c>
      <c r="H173" s="425">
        <f t="shared" si="48"/>
        <v>3877562.3554199999</v>
      </c>
      <c r="I173" s="426">
        <v>2601</v>
      </c>
      <c r="J173" s="427">
        <f t="shared" si="58"/>
        <v>949365</v>
      </c>
      <c r="K173" s="423">
        <v>2.2000000000000002</v>
      </c>
      <c r="L173" s="429">
        <v>2.5999999999999999E-2</v>
      </c>
      <c r="M173" s="424">
        <v>29.5</v>
      </c>
      <c r="N173" s="425">
        <f t="shared" si="49"/>
        <v>728162.95499999996</v>
      </c>
      <c r="O173" s="425">
        <f t="shared" si="50"/>
        <v>4605725.31042</v>
      </c>
      <c r="P173" s="425">
        <f t="shared" si="51"/>
        <v>1458054.682791336</v>
      </c>
      <c r="R173" s="425">
        <f t="shared" si="55"/>
        <v>230517.74363767027</v>
      </c>
    </row>
    <row r="174" spans="1:18" x14ac:dyDescent="0.3">
      <c r="A174" s="419">
        <v>18</v>
      </c>
      <c r="B174" s="420">
        <f t="shared" si="56"/>
        <v>2036</v>
      </c>
      <c r="C174" s="421">
        <v>14807</v>
      </c>
      <c r="D174" s="422">
        <f t="shared" si="57"/>
        <v>5404555</v>
      </c>
      <c r="E174" s="423">
        <v>2.2000000000000002</v>
      </c>
      <c r="F174" s="429">
        <v>2.5999999999999999E-2</v>
      </c>
      <c r="G174" s="424">
        <f t="shared" si="53"/>
        <v>27.722000000000001</v>
      </c>
      <c r="H174" s="425">
        <f t="shared" si="48"/>
        <v>3895451.91646</v>
      </c>
      <c r="I174" s="426">
        <v>2613</v>
      </c>
      <c r="J174" s="427">
        <f t="shared" si="58"/>
        <v>953745</v>
      </c>
      <c r="K174" s="423">
        <v>2.2000000000000002</v>
      </c>
      <c r="L174" s="429">
        <v>2.5999999999999999E-2</v>
      </c>
      <c r="M174" s="424">
        <v>29.5</v>
      </c>
      <c r="N174" s="425">
        <f t="shared" si="49"/>
        <v>731522.41499999992</v>
      </c>
      <c r="O174" s="425">
        <f t="shared" si="50"/>
        <v>4626974.33146</v>
      </c>
      <c r="P174" s="425">
        <f t="shared" si="51"/>
        <v>1368954.7464252645</v>
      </c>
      <c r="R174" s="425">
        <f t="shared" si="55"/>
        <v>216431.08657893346</v>
      </c>
    </row>
    <row r="175" spans="1:18" x14ac:dyDescent="0.3">
      <c r="A175" s="419">
        <v>19</v>
      </c>
      <c r="B175" s="420">
        <f t="shared" si="56"/>
        <v>2037</v>
      </c>
      <c r="C175" s="421">
        <v>14883.5</v>
      </c>
      <c r="D175" s="422">
        <f t="shared" si="57"/>
        <v>5432477.5</v>
      </c>
      <c r="E175" s="423">
        <v>2.2000000000000002</v>
      </c>
      <c r="F175" s="429">
        <v>2.5999999999999999E-2</v>
      </c>
      <c r="G175" s="424">
        <f t="shared" si="53"/>
        <v>27.722000000000001</v>
      </c>
      <c r="H175" s="425">
        <f t="shared" si="48"/>
        <v>3915577.6726299995</v>
      </c>
      <c r="I175" s="426">
        <v>2626.5</v>
      </c>
      <c r="J175" s="427">
        <f t="shared" si="58"/>
        <v>958672.5</v>
      </c>
      <c r="K175" s="423">
        <v>2.2000000000000002</v>
      </c>
      <c r="L175" s="429">
        <v>2.5999999999999999E-2</v>
      </c>
      <c r="M175" s="424">
        <v>29.5</v>
      </c>
      <c r="N175" s="425">
        <f t="shared" si="49"/>
        <v>735301.8075</v>
      </c>
      <c r="O175" s="425">
        <f t="shared" si="50"/>
        <v>4650879.4801299991</v>
      </c>
      <c r="P175" s="425">
        <f t="shared" si="51"/>
        <v>1286006.9320850659</v>
      </c>
      <c r="R175" s="425">
        <f t="shared" si="55"/>
        <v>203317.07705168219</v>
      </c>
    </row>
    <row r="176" spans="1:18" x14ac:dyDescent="0.3">
      <c r="A176" s="430">
        <v>20</v>
      </c>
      <c r="B176" s="420">
        <f t="shared" si="56"/>
        <v>2038</v>
      </c>
      <c r="C176" s="421">
        <v>14951.5</v>
      </c>
      <c r="D176" s="422">
        <f t="shared" si="57"/>
        <v>5457297.5</v>
      </c>
      <c r="E176" s="423">
        <v>2.2000000000000002</v>
      </c>
      <c r="F176" s="429">
        <v>2.5999999999999999E-2</v>
      </c>
      <c r="G176" s="424">
        <f t="shared" si="53"/>
        <v>27.722000000000001</v>
      </c>
      <c r="H176" s="425">
        <f t="shared" si="48"/>
        <v>3933467.23367</v>
      </c>
      <c r="I176" s="426">
        <v>2638.5</v>
      </c>
      <c r="J176" s="427">
        <f t="shared" si="58"/>
        <v>963052.5</v>
      </c>
      <c r="K176" s="423">
        <v>2.2000000000000002</v>
      </c>
      <c r="L176" s="429">
        <v>2.5999999999999999E-2</v>
      </c>
      <c r="M176" s="424">
        <v>29.5</v>
      </c>
      <c r="N176" s="425">
        <f t="shared" si="49"/>
        <v>738661.26749999996</v>
      </c>
      <c r="O176" s="425">
        <f t="shared" si="50"/>
        <v>4672128.5011700001</v>
      </c>
      <c r="P176" s="425">
        <f t="shared" si="51"/>
        <v>1207366.7882906063</v>
      </c>
      <c r="R176" s="425">
        <f t="shared" si="55"/>
        <v>190884.1081645783</v>
      </c>
    </row>
    <row r="177" spans="1:18" x14ac:dyDescent="0.3">
      <c r="A177" s="430">
        <v>21</v>
      </c>
      <c r="B177" s="420">
        <f t="shared" si="56"/>
        <v>2039</v>
      </c>
      <c r="C177" s="421">
        <v>15019.5</v>
      </c>
      <c r="D177" s="422">
        <f t="shared" si="57"/>
        <v>5482117.5</v>
      </c>
      <c r="E177" s="423">
        <v>2.2000000000000002</v>
      </c>
      <c r="F177" s="429">
        <v>2.5999999999999999E-2</v>
      </c>
      <c r="G177" s="424">
        <f t="shared" si="53"/>
        <v>27.722000000000001</v>
      </c>
      <c r="H177" s="425">
        <f t="shared" si="48"/>
        <v>3951356.79471</v>
      </c>
      <c r="I177" s="426">
        <v>2650.5</v>
      </c>
      <c r="J177" s="427">
        <f t="shared" si="58"/>
        <v>967432.5</v>
      </c>
      <c r="K177" s="423">
        <v>2.2000000000000002</v>
      </c>
      <c r="L177" s="429">
        <v>2.5999999999999999E-2</v>
      </c>
      <c r="M177" s="424">
        <v>29.5</v>
      </c>
      <c r="N177" s="425">
        <f t="shared" si="49"/>
        <v>742020.72749999992</v>
      </c>
      <c r="O177" s="425">
        <f t="shared" si="50"/>
        <v>4693377.5222100001</v>
      </c>
      <c r="P177" s="425">
        <f t="shared" si="51"/>
        <v>1133512.092634144</v>
      </c>
      <c r="R177" s="425">
        <f t="shared" si="55"/>
        <v>179207.71632501998</v>
      </c>
    </row>
    <row r="178" spans="1:18" x14ac:dyDescent="0.3">
      <c r="A178" s="430">
        <v>22</v>
      </c>
      <c r="B178" s="420">
        <f t="shared" si="56"/>
        <v>2040</v>
      </c>
      <c r="C178" s="421">
        <v>15087.5</v>
      </c>
      <c r="D178" s="422">
        <f t="shared" si="57"/>
        <v>5506937.5</v>
      </c>
      <c r="E178" s="423">
        <v>2.2000000000000002</v>
      </c>
      <c r="F178" s="429">
        <v>2.5999999999999999E-2</v>
      </c>
      <c r="G178" s="424">
        <f t="shared" si="53"/>
        <v>27.722000000000001</v>
      </c>
      <c r="H178" s="425">
        <f t="shared" si="48"/>
        <v>3969246.3557500001</v>
      </c>
      <c r="I178" s="426">
        <v>2662.5</v>
      </c>
      <c r="J178" s="427">
        <f t="shared" si="58"/>
        <v>971812.5</v>
      </c>
      <c r="K178" s="423">
        <v>2.2000000000000002</v>
      </c>
      <c r="L178" s="429">
        <v>2.5999999999999999E-2</v>
      </c>
      <c r="M178" s="424">
        <v>29.5</v>
      </c>
      <c r="N178" s="425">
        <f t="shared" si="49"/>
        <v>745380.1875</v>
      </c>
      <c r="O178" s="425">
        <f t="shared" si="50"/>
        <v>4714626.5432500001</v>
      </c>
      <c r="P178" s="425">
        <f t="shared" si="51"/>
        <v>1064153.2797156624</v>
      </c>
      <c r="R178" s="425">
        <f t="shared" si="55"/>
        <v>168242.12138262248</v>
      </c>
    </row>
    <row r="179" spans="1:18" x14ac:dyDescent="0.3">
      <c r="A179" s="430">
        <v>23</v>
      </c>
      <c r="B179" s="420">
        <f t="shared" si="56"/>
        <v>2041</v>
      </c>
      <c r="C179" s="421">
        <v>15155.5</v>
      </c>
      <c r="D179" s="422">
        <f t="shared" si="57"/>
        <v>5531757.5</v>
      </c>
      <c r="E179" s="423">
        <v>2.2000000000000002</v>
      </c>
      <c r="F179" s="429">
        <v>2.5999999999999999E-2</v>
      </c>
      <c r="G179" s="424">
        <f t="shared" si="53"/>
        <v>27.722000000000001</v>
      </c>
      <c r="H179" s="425">
        <f t="shared" si="48"/>
        <v>3987135.9167900002</v>
      </c>
      <c r="I179" s="426">
        <v>2674.5</v>
      </c>
      <c r="J179" s="427">
        <f t="shared" si="58"/>
        <v>976192.5</v>
      </c>
      <c r="K179" s="423">
        <v>2.2000000000000002</v>
      </c>
      <c r="L179" s="429">
        <v>2.5999999999999999E-2</v>
      </c>
      <c r="M179" s="424">
        <v>29.5</v>
      </c>
      <c r="N179" s="425">
        <f t="shared" si="49"/>
        <v>748739.64749999996</v>
      </c>
      <c r="O179" s="425">
        <f t="shared" si="50"/>
        <v>4735875.5642900001</v>
      </c>
      <c r="P179" s="425">
        <f t="shared" si="51"/>
        <v>999018.19019772322</v>
      </c>
      <c r="R179" s="425">
        <f t="shared" si="55"/>
        <v>157944.29507711774</v>
      </c>
    </row>
    <row r="180" spans="1:18" x14ac:dyDescent="0.3">
      <c r="A180" s="430">
        <v>24</v>
      </c>
      <c r="B180" s="420">
        <f t="shared" si="56"/>
        <v>2042</v>
      </c>
      <c r="C180" s="421">
        <v>15232</v>
      </c>
      <c r="D180" s="422">
        <f t="shared" si="57"/>
        <v>5559680</v>
      </c>
      <c r="E180" s="423">
        <v>2.2000000000000002</v>
      </c>
      <c r="F180" s="429">
        <v>2.5999999999999999E-2</v>
      </c>
      <c r="G180" s="424">
        <f t="shared" si="53"/>
        <v>27.722000000000001</v>
      </c>
      <c r="H180" s="425">
        <f t="shared" si="48"/>
        <v>4007261.6729600001</v>
      </c>
      <c r="I180" s="426">
        <v>2688</v>
      </c>
      <c r="J180" s="427">
        <f t="shared" si="58"/>
        <v>981120</v>
      </c>
      <c r="K180" s="423">
        <v>2.2000000000000002</v>
      </c>
      <c r="L180" s="429">
        <v>2.5999999999999999E-2</v>
      </c>
      <c r="M180" s="424">
        <v>29.5</v>
      </c>
      <c r="N180" s="425">
        <f t="shared" si="49"/>
        <v>752519.03999999992</v>
      </c>
      <c r="O180" s="425">
        <f t="shared" si="50"/>
        <v>4759780.7129600001</v>
      </c>
      <c r="P180" s="425">
        <f t="shared" si="51"/>
        <v>938374.67925753607</v>
      </c>
      <c r="R180" s="425">
        <f t="shared" si="55"/>
        <v>148356.58518311306</v>
      </c>
    </row>
    <row r="181" spans="1:18" x14ac:dyDescent="0.3">
      <c r="A181" s="430">
        <v>25</v>
      </c>
      <c r="B181" s="420">
        <f t="shared" si="56"/>
        <v>2043</v>
      </c>
      <c r="C181" s="421">
        <v>15300</v>
      </c>
      <c r="D181" s="422">
        <f t="shared" si="57"/>
        <v>5584500</v>
      </c>
      <c r="E181" s="423">
        <v>2.2000000000000002</v>
      </c>
      <c r="F181" s="429">
        <v>2.5999999999999999E-2</v>
      </c>
      <c r="G181" s="424">
        <f t="shared" si="53"/>
        <v>27.722000000000001</v>
      </c>
      <c r="H181" s="425">
        <f t="shared" si="48"/>
        <v>4025151.2340000002</v>
      </c>
      <c r="I181" s="426">
        <v>2700</v>
      </c>
      <c r="J181" s="427">
        <f t="shared" si="58"/>
        <v>985500</v>
      </c>
      <c r="K181" s="423">
        <v>2.2000000000000002</v>
      </c>
      <c r="L181" s="429">
        <v>2.5999999999999999E-2</v>
      </c>
      <c r="M181" s="424">
        <v>29.5</v>
      </c>
      <c r="N181" s="425">
        <f t="shared" si="49"/>
        <v>755878.5</v>
      </c>
      <c r="O181" s="425">
        <f t="shared" si="50"/>
        <v>4781029.7340000002</v>
      </c>
      <c r="P181" s="425">
        <f t="shared" si="51"/>
        <v>880900.79619887192</v>
      </c>
      <c r="R181" s="425">
        <f t="shared" si="55"/>
        <v>139269.99193174418</v>
      </c>
    </row>
    <row r="182" spans="1:18" x14ac:dyDescent="0.3">
      <c r="A182" s="430">
        <v>26</v>
      </c>
      <c r="B182" s="420">
        <f t="shared" si="56"/>
        <v>2044</v>
      </c>
      <c r="C182" s="421">
        <v>15368</v>
      </c>
      <c r="D182" s="422">
        <f t="shared" si="57"/>
        <v>5609320</v>
      </c>
      <c r="E182" s="423">
        <v>2.2000000000000002</v>
      </c>
      <c r="F182" s="429">
        <v>2.5999999999999999E-2</v>
      </c>
      <c r="G182" s="424">
        <f t="shared" si="53"/>
        <v>27.722000000000001</v>
      </c>
      <c r="H182" s="425">
        <f t="shared" si="48"/>
        <v>4043040.7950400002</v>
      </c>
      <c r="I182" s="426">
        <v>2712</v>
      </c>
      <c r="J182" s="427">
        <f t="shared" si="58"/>
        <v>989880</v>
      </c>
      <c r="K182" s="423">
        <v>2.2000000000000002</v>
      </c>
      <c r="L182" s="429">
        <v>2.5999999999999999E-2</v>
      </c>
      <c r="M182" s="424">
        <v>29.5</v>
      </c>
      <c r="N182" s="425">
        <f t="shared" si="49"/>
        <v>759237.96</v>
      </c>
      <c r="O182" s="425">
        <f t="shared" si="50"/>
        <v>4802278.7550400002</v>
      </c>
      <c r="P182" s="425">
        <f t="shared" si="51"/>
        <v>826930.75780247175</v>
      </c>
      <c r="R182" s="425">
        <f t="shared" si="55"/>
        <v>130737.3548351991</v>
      </c>
    </row>
    <row r="183" spans="1:18" x14ac:dyDescent="0.3">
      <c r="A183" s="430">
        <v>27</v>
      </c>
      <c r="B183" s="420">
        <f t="shared" si="56"/>
        <v>2045</v>
      </c>
      <c r="C183" s="421">
        <v>15436</v>
      </c>
      <c r="D183" s="422">
        <f t="shared" si="57"/>
        <v>5634140</v>
      </c>
      <c r="E183" s="423">
        <v>2.2000000000000002</v>
      </c>
      <c r="F183" s="429">
        <v>2.5999999999999999E-2</v>
      </c>
      <c r="G183" s="424">
        <f t="shared" si="53"/>
        <v>27.722000000000001</v>
      </c>
      <c r="H183" s="425">
        <f t="shared" si="48"/>
        <v>4060930.3560799998</v>
      </c>
      <c r="I183" s="426">
        <v>2724</v>
      </c>
      <c r="J183" s="427">
        <f t="shared" si="58"/>
        <v>994260</v>
      </c>
      <c r="K183" s="423">
        <v>2.2000000000000002</v>
      </c>
      <c r="L183" s="429">
        <v>2.5999999999999999E-2</v>
      </c>
      <c r="M183" s="424">
        <v>29.5</v>
      </c>
      <c r="N183" s="425">
        <f t="shared" si="49"/>
        <v>762597.41999999993</v>
      </c>
      <c r="O183" s="425">
        <f t="shared" si="50"/>
        <v>4823527.7760799993</v>
      </c>
      <c r="P183" s="425">
        <f t="shared" si="51"/>
        <v>776252.09668828466</v>
      </c>
      <c r="R183" s="425">
        <f t="shared" si="55"/>
        <v>122725.08290294511</v>
      </c>
    </row>
    <row r="184" spans="1:18" x14ac:dyDescent="0.3">
      <c r="A184" s="430">
        <v>28</v>
      </c>
      <c r="B184" s="420">
        <f t="shared" si="56"/>
        <v>2046</v>
      </c>
      <c r="C184" s="421">
        <v>15504</v>
      </c>
      <c r="D184" s="422">
        <f t="shared" si="57"/>
        <v>5658960</v>
      </c>
      <c r="E184" s="423">
        <v>2.2000000000000002</v>
      </c>
      <c r="F184" s="429">
        <v>2.5999999999999999E-2</v>
      </c>
      <c r="G184" s="424">
        <f t="shared" si="53"/>
        <v>27.722000000000001</v>
      </c>
      <c r="H184" s="425">
        <f t="shared" si="48"/>
        <v>4078819.9171199999</v>
      </c>
      <c r="I184" s="426">
        <v>2736</v>
      </c>
      <c r="J184" s="427">
        <f t="shared" si="58"/>
        <v>998640</v>
      </c>
      <c r="K184" s="423">
        <v>2.2000000000000002</v>
      </c>
      <c r="L184" s="429">
        <v>2.5999999999999999E-2</v>
      </c>
      <c r="M184" s="424">
        <v>29.5</v>
      </c>
      <c r="N184" s="425">
        <f t="shared" si="49"/>
        <v>765956.88</v>
      </c>
      <c r="O184" s="425">
        <f t="shared" si="50"/>
        <v>4844776.7971200002</v>
      </c>
      <c r="P184" s="425">
        <f t="shared" si="51"/>
        <v>728665.1490177816</v>
      </c>
      <c r="R184" s="425">
        <f t="shared" si="55"/>
        <v>115201.60937820205</v>
      </c>
    </row>
    <row r="185" spans="1:18" x14ac:dyDescent="0.3">
      <c r="A185" s="430">
        <v>29</v>
      </c>
      <c r="B185" s="420">
        <f t="shared" si="56"/>
        <v>2047</v>
      </c>
      <c r="C185" s="421">
        <v>15572</v>
      </c>
      <c r="D185" s="422">
        <f t="shared" si="57"/>
        <v>5683780</v>
      </c>
      <c r="E185" s="423">
        <v>2.2000000000000002</v>
      </c>
      <c r="F185" s="429">
        <v>2.5999999999999999E-2</v>
      </c>
      <c r="G185" s="424">
        <f t="shared" si="53"/>
        <v>27.722000000000001</v>
      </c>
      <c r="H185" s="425">
        <f t="shared" si="48"/>
        <v>4096709.4781599999</v>
      </c>
      <c r="I185" s="426">
        <v>2748</v>
      </c>
      <c r="J185" s="427">
        <f t="shared" si="58"/>
        <v>1003020</v>
      </c>
      <c r="K185" s="423">
        <v>2.2000000000000002</v>
      </c>
      <c r="L185" s="429">
        <v>2.5999999999999999E-2</v>
      </c>
      <c r="M185" s="424">
        <v>29.5</v>
      </c>
      <c r="N185" s="425">
        <f t="shared" si="49"/>
        <v>769316.34</v>
      </c>
      <c r="O185" s="425">
        <f t="shared" si="50"/>
        <v>4866025.8181600003</v>
      </c>
      <c r="P185" s="425">
        <f t="shared" si="51"/>
        <v>683982.28859268723</v>
      </c>
      <c r="R185" s="425">
        <f t="shared" si="55"/>
        <v>108137.27064932065</v>
      </c>
    </row>
    <row r="186" spans="1:18" x14ac:dyDescent="0.3">
      <c r="A186" s="430">
        <f>1+A185</f>
        <v>30</v>
      </c>
      <c r="B186" s="420">
        <f t="shared" si="56"/>
        <v>2048</v>
      </c>
      <c r="C186" s="421">
        <v>15648.5</v>
      </c>
      <c r="D186" s="422">
        <f t="shared" si="57"/>
        <v>5711702.5</v>
      </c>
      <c r="E186" s="423">
        <v>2.2000000000000002</v>
      </c>
      <c r="F186" s="429">
        <v>2.5999999999999999E-2</v>
      </c>
      <c r="G186" s="424">
        <f t="shared" si="53"/>
        <v>27.722000000000001</v>
      </c>
      <c r="H186" s="425">
        <f t="shared" si="48"/>
        <v>4116835.2343299999</v>
      </c>
      <c r="I186" s="426">
        <v>2761.5</v>
      </c>
      <c r="J186" s="427">
        <f t="shared" si="58"/>
        <v>1007947.5</v>
      </c>
      <c r="K186" s="423">
        <v>2.2000000000000002</v>
      </c>
      <c r="L186" s="429">
        <v>2.5999999999999999E-2</v>
      </c>
      <c r="M186" s="424">
        <v>29.5</v>
      </c>
      <c r="N186" s="425">
        <f t="shared" si="49"/>
        <v>773095.73249999993</v>
      </c>
      <c r="O186" s="425">
        <f t="shared" si="50"/>
        <v>4889930.9668300003</v>
      </c>
      <c r="P186" s="425">
        <f t="shared" si="51"/>
        <v>642376.13419741322</v>
      </c>
      <c r="R186" s="425">
        <f t="shared" si="55"/>
        <v>101559.35766304091</v>
      </c>
    </row>
    <row r="187" spans="1:18" x14ac:dyDescent="0.3">
      <c r="A187" s="430">
        <f>1+A186</f>
        <v>31</v>
      </c>
      <c r="B187" s="431">
        <f t="shared" si="56"/>
        <v>2049</v>
      </c>
      <c r="C187" s="421">
        <v>15648.5</v>
      </c>
      <c r="D187" s="427">
        <f t="shared" si="57"/>
        <v>5711702.5</v>
      </c>
      <c r="E187" s="423">
        <v>2.2000000000000002</v>
      </c>
      <c r="F187" s="429">
        <v>2.5999999999999999E-2</v>
      </c>
      <c r="G187" s="424">
        <f t="shared" si="53"/>
        <v>27.722000000000001</v>
      </c>
      <c r="H187" s="425">
        <f t="shared" si="48"/>
        <v>4116835.2343299999</v>
      </c>
      <c r="I187" s="426">
        <v>566.5</v>
      </c>
      <c r="J187" s="427">
        <f t="shared" si="58"/>
        <v>206772.5</v>
      </c>
      <c r="K187" s="423">
        <v>2.2000000000000002</v>
      </c>
      <c r="L187" s="429">
        <v>2.5999999999999999E-2</v>
      </c>
      <c r="M187" s="424">
        <v>29.5</v>
      </c>
      <c r="N187" s="425">
        <f t="shared" si="49"/>
        <v>158594.50750000001</v>
      </c>
      <c r="O187" s="425">
        <f t="shared" si="50"/>
        <v>4275429.7418299997</v>
      </c>
      <c r="P187" s="425">
        <f t="shared" si="51"/>
        <v>524907.36428149452</v>
      </c>
      <c r="R187" s="425">
        <f t="shared" si="55"/>
        <v>19471.124529744829</v>
      </c>
    </row>
    <row r="188" spans="1:18" x14ac:dyDescent="0.3">
      <c r="A188" s="568" t="s">
        <v>11</v>
      </c>
      <c r="B188" s="569"/>
      <c r="C188" s="569"/>
      <c r="D188" s="569"/>
      <c r="E188" s="569"/>
      <c r="F188" s="569"/>
      <c r="G188" s="569"/>
      <c r="H188" s="569"/>
      <c r="I188" s="569"/>
      <c r="J188" s="569"/>
      <c r="K188" s="569"/>
      <c r="L188" s="569"/>
      <c r="M188" s="569"/>
      <c r="N188" s="569"/>
      <c r="O188" s="570"/>
      <c r="P188" s="432">
        <f>SUM(P156:P185)</f>
        <v>34294226.62912222</v>
      </c>
      <c r="R188" s="432">
        <f>SUM(R156:R185)</f>
        <v>5421900.7254308285</v>
      </c>
    </row>
    <row r="190" spans="1:18" x14ac:dyDescent="0.25">
      <c r="A190" s="567" t="s">
        <v>179</v>
      </c>
      <c r="B190" s="567"/>
      <c r="C190" s="567"/>
      <c r="D190" s="567"/>
      <c r="E190" s="567"/>
      <c r="F190" s="567"/>
      <c r="G190" s="567"/>
      <c r="H190" s="567"/>
      <c r="I190" s="567"/>
      <c r="J190" s="567"/>
      <c r="K190" s="567"/>
      <c r="L190" s="567"/>
      <c r="M190" s="567"/>
      <c r="N190" s="567"/>
      <c r="O190" s="567"/>
      <c r="P190" s="567"/>
      <c r="R190" s="191"/>
    </row>
    <row r="191" spans="1:18" x14ac:dyDescent="0.3">
      <c r="A191" s="415" t="s">
        <v>145</v>
      </c>
      <c r="B191" s="415" t="s">
        <v>146</v>
      </c>
      <c r="C191" s="415" t="s">
        <v>147</v>
      </c>
      <c r="D191" s="415" t="s">
        <v>148</v>
      </c>
      <c r="E191" s="415" t="s">
        <v>149</v>
      </c>
      <c r="F191" s="415" t="s">
        <v>150</v>
      </c>
      <c r="G191" s="415" t="s">
        <v>151</v>
      </c>
      <c r="H191" s="415" t="s">
        <v>152</v>
      </c>
      <c r="I191" s="415" t="s">
        <v>153</v>
      </c>
      <c r="J191" s="415" t="s">
        <v>154</v>
      </c>
      <c r="K191" s="415" t="s">
        <v>155</v>
      </c>
      <c r="L191" s="415" t="s">
        <v>88</v>
      </c>
      <c r="M191" s="415" t="s">
        <v>156</v>
      </c>
      <c r="N191" s="415" t="s">
        <v>157</v>
      </c>
      <c r="O191" s="415" t="s">
        <v>158</v>
      </c>
      <c r="P191" s="415" t="s">
        <v>159</v>
      </c>
      <c r="R191" s="415" t="s">
        <v>160</v>
      </c>
    </row>
    <row r="192" spans="1:18" ht="100.8" x14ac:dyDescent="0.3">
      <c r="A192" s="416" t="s">
        <v>29</v>
      </c>
      <c r="B192" s="417" t="s">
        <v>30</v>
      </c>
      <c r="C192" s="433" t="s">
        <v>161</v>
      </c>
      <c r="D192" s="417" t="s">
        <v>162</v>
      </c>
      <c r="E192" s="417" t="s">
        <v>163</v>
      </c>
      <c r="F192" s="417" t="s">
        <v>164</v>
      </c>
      <c r="G192" s="417" t="s">
        <v>165</v>
      </c>
      <c r="H192" s="417" t="s">
        <v>166</v>
      </c>
      <c r="I192" s="417" t="s">
        <v>167</v>
      </c>
      <c r="J192" s="417" t="s">
        <v>168</v>
      </c>
      <c r="K192" s="417" t="s">
        <v>169</v>
      </c>
      <c r="L192" s="417" t="s">
        <v>164</v>
      </c>
      <c r="M192" s="417" t="s">
        <v>170</v>
      </c>
      <c r="N192" s="417" t="s">
        <v>171</v>
      </c>
      <c r="O192" s="417" t="s">
        <v>172</v>
      </c>
      <c r="P192" s="416" t="s">
        <v>32</v>
      </c>
      <c r="R192" s="417" t="s">
        <v>173</v>
      </c>
    </row>
    <row r="193" spans="1:18" x14ac:dyDescent="0.3">
      <c r="A193" s="419">
        <v>0</v>
      </c>
      <c r="B193" s="420">
        <v>2018</v>
      </c>
      <c r="C193" s="421">
        <v>34742.949999999997</v>
      </c>
      <c r="D193" s="422">
        <f>C193*365</f>
        <v>12681176.749999998</v>
      </c>
      <c r="E193" s="423">
        <v>0</v>
      </c>
      <c r="F193" s="423">
        <v>0</v>
      </c>
      <c r="G193" s="424">
        <f>1.67*16.6</f>
        <v>27.722000000000001</v>
      </c>
      <c r="H193" s="425">
        <f t="shared" ref="H193:H224" si="59">D193*F193*G193</f>
        <v>0</v>
      </c>
      <c r="I193" s="426">
        <v>3647.05</v>
      </c>
      <c r="J193" s="427">
        <f>I193*365</f>
        <v>1331173.25</v>
      </c>
      <c r="K193" s="423">
        <v>0</v>
      </c>
      <c r="L193" s="423">
        <v>0</v>
      </c>
      <c r="M193" s="424">
        <v>29.5</v>
      </c>
      <c r="N193" s="425">
        <f t="shared" ref="N193:N224" si="60">J193*L193*M193</f>
        <v>0</v>
      </c>
      <c r="O193" s="425">
        <f t="shared" ref="O193:O224" si="61">H193+N193</f>
        <v>0</v>
      </c>
      <c r="P193" s="425">
        <f t="shared" ref="P193:P224" si="62">O193/(1+0.07)^A193</f>
        <v>0</v>
      </c>
      <c r="R193" s="425">
        <f>N193/(1+0.07)^A193</f>
        <v>0</v>
      </c>
    </row>
    <row r="194" spans="1:18" x14ac:dyDescent="0.3">
      <c r="A194" s="419">
        <v>1</v>
      </c>
      <c r="B194" s="420">
        <f>1+B193</f>
        <v>2019</v>
      </c>
      <c r="C194" s="421">
        <v>34914.9</v>
      </c>
      <c r="D194" s="422">
        <f t="shared" ref="D194:D202" si="63">C194*365</f>
        <v>12743938.5</v>
      </c>
      <c r="E194" s="423">
        <v>0</v>
      </c>
      <c r="F194" s="423">
        <v>0</v>
      </c>
      <c r="G194" s="424">
        <f t="shared" ref="G194:G224" si="64">1.67*16.6</f>
        <v>27.722000000000001</v>
      </c>
      <c r="H194" s="425">
        <f t="shared" si="59"/>
        <v>0</v>
      </c>
      <c r="I194" s="426">
        <v>3665.1</v>
      </c>
      <c r="J194" s="427">
        <f t="shared" ref="J194:J202" si="65">I194*365</f>
        <v>1337761.5</v>
      </c>
      <c r="K194" s="423">
        <v>0</v>
      </c>
      <c r="L194" s="423">
        <v>0</v>
      </c>
      <c r="M194" s="424">
        <v>29.5</v>
      </c>
      <c r="N194" s="425">
        <f t="shared" si="60"/>
        <v>0</v>
      </c>
      <c r="O194" s="425">
        <f t="shared" si="61"/>
        <v>0</v>
      </c>
      <c r="P194" s="425">
        <f t="shared" si="62"/>
        <v>0</v>
      </c>
      <c r="R194" s="425">
        <f t="shared" ref="R194:R224" si="66">N194/(1+0.07)^A194</f>
        <v>0</v>
      </c>
    </row>
    <row r="195" spans="1:18" x14ac:dyDescent="0.3">
      <c r="A195" s="419">
        <v>2</v>
      </c>
      <c r="B195" s="420">
        <f t="shared" ref="B195:B224" si="67">1+B194</f>
        <v>2020</v>
      </c>
      <c r="C195" s="421">
        <v>35095.9</v>
      </c>
      <c r="D195" s="422">
        <f t="shared" si="63"/>
        <v>12810003.5</v>
      </c>
      <c r="E195" s="423">
        <v>0</v>
      </c>
      <c r="F195" s="423">
        <v>0</v>
      </c>
      <c r="G195" s="424">
        <f t="shared" si="64"/>
        <v>27.722000000000001</v>
      </c>
      <c r="H195" s="425">
        <f t="shared" si="59"/>
        <v>0</v>
      </c>
      <c r="I195" s="426">
        <v>3684.1</v>
      </c>
      <c r="J195" s="427">
        <f t="shared" si="65"/>
        <v>1344696.5</v>
      </c>
      <c r="K195" s="423">
        <v>0</v>
      </c>
      <c r="L195" s="423">
        <v>0</v>
      </c>
      <c r="M195" s="424">
        <v>29.5</v>
      </c>
      <c r="N195" s="425">
        <f t="shared" si="60"/>
        <v>0</v>
      </c>
      <c r="O195" s="425">
        <f t="shared" si="61"/>
        <v>0</v>
      </c>
      <c r="P195" s="425">
        <f t="shared" si="62"/>
        <v>0</v>
      </c>
      <c r="R195" s="425">
        <f t="shared" si="66"/>
        <v>0</v>
      </c>
    </row>
    <row r="196" spans="1:18" x14ac:dyDescent="0.3">
      <c r="A196" s="419">
        <v>3</v>
      </c>
      <c r="B196" s="420">
        <f t="shared" si="67"/>
        <v>2021</v>
      </c>
      <c r="C196" s="421">
        <v>35267.85</v>
      </c>
      <c r="D196" s="422">
        <f t="shared" si="63"/>
        <v>12872765.25</v>
      </c>
      <c r="E196" s="423">
        <v>0</v>
      </c>
      <c r="F196" s="423">
        <v>0</v>
      </c>
      <c r="G196" s="424">
        <f t="shared" si="64"/>
        <v>27.722000000000001</v>
      </c>
      <c r="H196" s="425">
        <f t="shared" si="59"/>
        <v>0</v>
      </c>
      <c r="I196" s="426">
        <v>3702.15</v>
      </c>
      <c r="J196" s="427">
        <f t="shared" si="65"/>
        <v>1351284.75</v>
      </c>
      <c r="K196" s="423">
        <v>0</v>
      </c>
      <c r="L196" s="423">
        <v>0</v>
      </c>
      <c r="M196" s="424">
        <v>29.5</v>
      </c>
      <c r="N196" s="425">
        <f t="shared" si="60"/>
        <v>0</v>
      </c>
      <c r="O196" s="425">
        <f t="shared" si="61"/>
        <v>0</v>
      </c>
      <c r="P196" s="425">
        <f t="shared" si="62"/>
        <v>0</v>
      </c>
      <c r="R196" s="425">
        <f t="shared" si="66"/>
        <v>0</v>
      </c>
    </row>
    <row r="197" spans="1:18" x14ac:dyDescent="0.3">
      <c r="A197" s="419">
        <v>4</v>
      </c>
      <c r="B197" s="420">
        <f t="shared" si="67"/>
        <v>2022</v>
      </c>
      <c r="C197" s="421">
        <v>35448.85</v>
      </c>
      <c r="D197" s="422">
        <f t="shared" si="63"/>
        <v>12938830.25</v>
      </c>
      <c r="E197" s="423">
        <v>0</v>
      </c>
      <c r="F197" s="423">
        <v>0</v>
      </c>
      <c r="G197" s="424">
        <f t="shared" si="64"/>
        <v>27.722000000000001</v>
      </c>
      <c r="H197" s="425">
        <f t="shared" si="59"/>
        <v>0</v>
      </c>
      <c r="I197" s="426">
        <v>3721.15</v>
      </c>
      <c r="J197" s="427">
        <f t="shared" si="65"/>
        <v>1358219.75</v>
      </c>
      <c r="K197" s="423">
        <v>0</v>
      </c>
      <c r="L197" s="423">
        <v>0</v>
      </c>
      <c r="M197" s="424">
        <v>29.5</v>
      </c>
      <c r="N197" s="425">
        <f t="shared" si="60"/>
        <v>0</v>
      </c>
      <c r="O197" s="425">
        <f t="shared" si="61"/>
        <v>0</v>
      </c>
      <c r="P197" s="425">
        <f t="shared" si="62"/>
        <v>0</v>
      </c>
      <c r="R197" s="425">
        <f t="shared" si="66"/>
        <v>0</v>
      </c>
    </row>
    <row r="198" spans="1:18" x14ac:dyDescent="0.3">
      <c r="A198" s="419">
        <v>5</v>
      </c>
      <c r="B198" s="420">
        <f t="shared" si="67"/>
        <v>2023</v>
      </c>
      <c r="C198" s="421">
        <v>35620.800000000003</v>
      </c>
      <c r="D198" s="422">
        <f t="shared" si="63"/>
        <v>13001592.000000002</v>
      </c>
      <c r="E198" s="423">
        <v>0</v>
      </c>
      <c r="F198" s="423">
        <v>0</v>
      </c>
      <c r="G198" s="424">
        <f t="shared" si="64"/>
        <v>27.722000000000001</v>
      </c>
      <c r="H198" s="425">
        <f t="shared" si="59"/>
        <v>0</v>
      </c>
      <c r="I198" s="426">
        <v>3739.2</v>
      </c>
      <c r="J198" s="427">
        <f t="shared" si="65"/>
        <v>1364808</v>
      </c>
      <c r="K198" s="423">
        <v>0</v>
      </c>
      <c r="L198" s="423">
        <v>0</v>
      </c>
      <c r="M198" s="424">
        <v>29.5</v>
      </c>
      <c r="N198" s="425">
        <f t="shared" si="60"/>
        <v>0</v>
      </c>
      <c r="O198" s="425">
        <f t="shared" si="61"/>
        <v>0</v>
      </c>
      <c r="P198" s="425">
        <f t="shared" si="62"/>
        <v>0</v>
      </c>
      <c r="R198" s="425">
        <f t="shared" si="66"/>
        <v>0</v>
      </c>
    </row>
    <row r="199" spans="1:18" x14ac:dyDescent="0.3">
      <c r="A199" s="419">
        <v>6</v>
      </c>
      <c r="B199" s="420">
        <f t="shared" si="67"/>
        <v>2024</v>
      </c>
      <c r="C199" s="421">
        <v>35792.75</v>
      </c>
      <c r="D199" s="422">
        <f t="shared" si="63"/>
        <v>13064353.75</v>
      </c>
      <c r="E199" s="423">
        <v>0</v>
      </c>
      <c r="F199" s="423">
        <v>0</v>
      </c>
      <c r="G199" s="424">
        <f t="shared" si="64"/>
        <v>27.722000000000001</v>
      </c>
      <c r="H199" s="425">
        <f t="shared" si="59"/>
        <v>0</v>
      </c>
      <c r="I199" s="426">
        <v>3757.25</v>
      </c>
      <c r="J199" s="427">
        <f t="shared" si="65"/>
        <v>1371396.25</v>
      </c>
      <c r="K199" s="423">
        <v>0</v>
      </c>
      <c r="L199" s="423">
        <v>0</v>
      </c>
      <c r="M199" s="424">
        <v>29.5</v>
      </c>
      <c r="N199" s="425">
        <f t="shared" si="60"/>
        <v>0</v>
      </c>
      <c r="O199" s="425">
        <f t="shared" si="61"/>
        <v>0</v>
      </c>
      <c r="P199" s="425">
        <f t="shared" si="62"/>
        <v>0</v>
      </c>
      <c r="R199" s="425">
        <f t="shared" si="66"/>
        <v>0</v>
      </c>
    </row>
    <row r="200" spans="1:18" x14ac:dyDescent="0.3">
      <c r="A200" s="419">
        <v>7</v>
      </c>
      <c r="B200" s="420">
        <f t="shared" si="67"/>
        <v>2025</v>
      </c>
      <c r="C200" s="421">
        <v>35973.75</v>
      </c>
      <c r="D200" s="422">
        <f t="shared" si="63"/>
        <v>13130418.75</v>
      </c>
      <c r="E200" s="423">
        <v>0.7</v>
      </c>
      <c r="F200" s="429">
        <v>0.2</v>
      </c>
      <c r="G200" s="424">
        <f t="shared" si="64"/>
        <v>27.722000000000001</v>
      </c>
      <c r="H200" s="425">
        <f t="shared" si="59"/>
        <v>72800293.717500001</v>
      </c>
      <c r="I200" s="426">
        <v>3776.25</v>
      </c>
      <c r="J200" s="427">
        <f t="shared" si="65"/>
        <v>1378331.25</v>
      </c>
      <c r="K200" s="423">
        <v>0.7</v>
      </c>
      <c r="L200" s="429">
        <v>0.2</v>
      </c>
      <c r="M200" s="424">
        <v>29.5</v>
      </c>
      <c r="N200" s="425">
        <f t="shared" si="60"/>
        <v>8132154.375</v>
      </c>
      <c r="O200" s="425">
        <f t="shared" si="61"/>
        <v>80932448.092500001</v>
      </c>
      <c r="P200" s="425">
        <f t="shared" si="62"/>
        <v>50400661.159692444</v>
      </c>
      <c r="R200" s="425">
        <f t="shared" si="66"/>
        <v>5064297.0379968984</v>
      </c>
    </row>
    <row r="201" spans="1:18" x14ac:dyDescent="0.3">
      <c r="A201" s="419">
        <v>8</v>
      </c>
      <c r="B201" s="420">
        <f t="shared" si="67"/>
        <v>2026</v>
      </c>
      <c r="C201" s="421">
        <v>36145.699999999997</v>
      </c>
      <c r="D201" s="422">
        <f t="shared" si="63"/>
        <v>13193180.499999998</v>
      </c>
      <c r="E201" s="423">
        <v>0.7</v>
      </c>
      <c r="F201" s="429">
        <v>0.2</v>
      </c>
      <c r="G201" s="424">
        <f t="shared" si="64"/>
        <v>27.722000000000001</v>
      </c>
      <c r="H201" s="425">
        <f t="shared" si="59"/>
        <v>73148269.96419999</v>
      </c>
      <c r="I201" s="426">
        <v>3794.3</v>
      </c>
      <c r="J201" s="427">
        <f t="shared" si="65"/>
        <v>1384919.5</v>
      </c>
      <c r="K201" s="423">
        <v>0.7</v>
      </c>
      <c r="L201" s="429">
        <v>0.2</v>
      </c>
      <c r="M201" s="424">
        <v>29.5</v>
      </c>
      <c r="N201" s="425">
        <f t="shared" si="60"/>
        <v>8171025.0500000007</v>
      </c>
      <c r="O201" s="425">
        <f t="shared" si="61"/>
        <v>81319295.014199987</v>
      </c>
      <c r="P201" s="425">
        <f t="shared" si="62"/>
        <v>47328570.075074732</v>
      </c>
      <c r="R201" s="425">
        <f t="shared" si="66"/>
        <v>4755610.9727289984</v>
      </c>
    </row>
    <row r="202" spans="1:18" x14ac:dyDescent="0.3">
      <c r="A202" s="419">
        <v>9</v>
      </c>
      <c r="B202" s="420">
        <f t="shared" si="67"/>
        <v>2027</v>
      </c>
      <c r="C202" s="421">
        <v>36317.65</v>
      </c>
      <c r="D202" s="422">
        <f t="shared" si="63"/>
        <v>13255942.25</v>
      </c>
      <c r="E202" s="423">
        <v>0.7</v>
      </c>
      <c r="F202" s="429">
        <v>0.2</v>
      </c>
      <c r="G202" s="424">
        <f t="shared" si="64"/>
        <v>27.722000000000001</v>
      </c>
      <c r="H202" s="425">
        <f t="shared" si="59"/>
        <v>73496246.210900009</v>
      </c>
      <c r="I202" s="426">
        <v>3812.35</v>
      </c>
      <c r="J202" s="427">
        <f t="shared" si="65"/>
        <v>1391507.75</v>
      </c>
      <c r="K202" s="423">
        <v>0.7</v>
      </c>
      <c r="L202" s="429">
        <v>0.2</v>
      </c>
      <c r="M202" s="424">
        <v>29.5</v>
      </c>
      <c r="N202" s="425">
        <f t="shared" si="60"/>
        <v>8209895.7249999996</v>
      </c>
      <c r="O202" s="425">
        <f t="shared" si="61"/>
        <v>81706141.935900003</v>
      </c>
      <c r="P202" s="425">
        <f t="shared" si="62"/>
        <v>44442727.575305693</v>
      </c>
      <c r="R202" s="425">
        <f t="shared" si="66"/>
        <v>4465639.3079248471</v>
      </c>
    </row>
    <row r="203" spans="1:18" x14ac:dyDescent="0.3">
      <c r="A203" s="419">
        <v>10</v>
      </c>
      <c r="B203" s="420">
        <f t="shared" si="67"/>
        <v>2028</v>
      </c>
      <c r="C203" s="421">
        <v>36498.65</v>
      </c>
      <c r="D203" s="422">
        <f>C203*365</f>
        <v>13322007.25</v>
      </c>
      <c r="E203" s="423">
        <v>0.7</v>
      </c>
      <c r="F203" s="429">
        <v>0.2</v>
      </c>
      <c r="G203" s="424">
        <f t="shared" si="64"/>
        <v>27.722000000000001</v>
      </c>
      <c r="H203" s="425">
        <f t="shared" si="59"/>
        <v>73862536.996900007</v>
      </c>
      <c r="I203" s="426">
        <v>3831.35</v>
      </c>
      <c r="J203" s="427">
        <f>I203*365</f>
        <v>1398442.75</v>
      </c>
      <c r="K203" s="423">
        <v>0.7</v>
      </c>
      <c r="L203" s="429">
        <v>0.2</v>
      </c>
      <c r="M203" s="424">
        <v>29.5</v>
      </c>
      <c r="N203" s="425">
        <f t="shared" si="60"/>
        <v>8250812.2249999996</v>
      </c>
      <c r="O203" s="425">
        <f t="shared" si="61"/>
        <v>82113349.221900001</v>
      </c>
      <c r="P203" s="425">
        <f t="shared" si="62"/>
        <v>41742262.951763749</v>
      </c>
      <c r="R203" s="425">
        <f t="shared" si="66"/>
        <v>4194294.5541152256</v>
      </c>
    </row>
    <row r="204" spans="1:18" x14ac:dyDescent="0.3">
      <c r="A204" s="419">
        <v>11</v>
      </c>
      <c r="B204" s="420">
        <f t="shared" si="67"/>
        <v>2029</v>
      </c>
      <c r="C204" s="421">
        <v>36670.6</v>
      </c>
      <c r="D204" s="422">
        <f t="shared" ref="D204:D224" si="68">C204*365</f>
        <v>13384769</v>
      </c>
      <c r="E204" s="423">
        <v>0.7</v>
      </c>
      <c r="F204" s="429">
        <v>0.2</v>
      </c>
      <c r="G204" s="424">
        <f t="shared" si="64"/>
        <v>27.722000000000001</v>
      </c>
      <c r="H204" s="425">
        <f t="shared" si="59"/>
        <v>74210513.243600011</v>
      </c>
      <c r="I204" s="426">
        <v>3849.4</v>
      </c>
      <c r="J204" s="427">
        <f t="shared" ref="J204:J224" si="69">I204*365</f>
        <v>1405031</v>
      </c>
      <c r="K204" s="423">
        <v>0.7</v>
      </c>
      <c r="L204" s="429">
        <v>0.2</v>
      </c>
      <c r="M204" s="424">
        <v>29.5</v>
      </c>
      <c r="N204" s="425">
        <f t="shared" si="60"/>
        <v>8289682.9000000004</v>
      </c>
      <c r="O204" s="425">
        <f t="shared" si="61"/>
        <v>82500196.143600017</v>
      </c>
      <c r="P204" s="425">
        <f t="shared" si="62"/>
        <v>39195248.888387322</v>
      </c>
      <c r="R204" s="425">
        <f t="shared" si="66"/>
        <v>3938368.6301273592</v>
      </c>
    </row>
    <row r="205" spans="1:18" x14ac:dyDescent="0.3">
      <c r="A205" s="419">
        <v>12</v>
      </c>
      <c r="B205" s="420">
        <f t="shared" si="67"/>
        <v>2030</v>
      </c>
      <c r="C205" s="421">
        <v>36851.599999999999</v>
      </c>
      <c r="D205" s="422">
        <f t="shared" si="68"/>
        <v>13450834</v>
      </c>
      <c r="E205" s="423">
        <v>0.7</v>
      </c>
      <c r="F205" s="429">
        <v>0.2</v>
      </c>
      <c r="G205" s="424">
        <f t="shared" si="64"/>
        <v>27.722000000000001</v>
      </c>
      <c r="H205" s="425">
        <f t="shared" si="59"/>
        <v>74576804.029600009</v>
      </c>
      <c r="I205" s="426">
        <v>3868.4</v>
      </c>
      <c r="J205" s="427">
        <f t="shared" si="69"/>
        <v>1411966</v>
      </c>
      <c r="K205" s="423">
        <v>0.7</v>
      </c>
      <c r="L205" s="429">
        <v>0.2</v>
      </c>
      <c r="M205" s="424">
        <v>29.5</v>
      </c>
      <c r="N205" s="425">
        <f t="shared" si="60"/>
        <v>8330599.4000000004</v>
      </c>
      <c r="O205" s="425">
        <f t="shared" si="61"/>
        <v>82907403.429600015</v>
      </c>
      <c r="P205" s="425">
        <f t="shared" si="62"/>
        <v>36811878.632338762</v>
      </c>
      <c r="R205" s="425">
        <f t="shared" si="66"/>
        <v>3698885.761243694</v>
      </c>
    </row>
    <row r="206" spans="1:18" x14ac:dyDescent="0.3">
      <c r="A206" s="419">
        <v>13</v>
      </c>
      <c r="B206" s="420">
        <f t="shared" si="67"/>
        <v>2031</v>
      </c>
      <c r="C206" s="421">
        <v>37023.550000000003</v>
      </c>
      <c r="D206" s="422">
        <f t="shared" si="68"/>
        <v>13513595.750000002</v>
      </c>
      <c r="E206" s="423">
        <v>0.7</v>
      </c>
      <c r="F206" s="429">
        <v>0.2</v>
      </c>
      <c r="G206" s="424">
        <f t="shared" si="64"/>
        <v>27.722000000000001</v>
      </c>
      <c r="H206" s="425">
        <f t="shared" si="59"/>
        <v>74924780.276300013</v>
      </c>
      <c r="I206" s="426">
        <v>3886.45</v>
      </c>
      <c r="J206" s="427">
        <f t="shared" si="69"/>
        <v>1418554.25</v>
      </c>
      <c r="K206" s="423">
        <v>0.7</v>
      </c>
      <c r="L206" s="429">
        <v>0.2</v>
      </c>
      <c r="M206" s="424">
        <v>29.5</v>
      </c>
      <c r="N206" s="425">
        <f t="shared" si="60"/>
        <v>8369470.0750000011</v>
      </c>
      <c r="O206" s="425">
        <f t="shared" si="61"/>
        <v>83294250.351300016</v>
      </c>
      <c r="P206" s="425">
        <f t="shared" si="62"/>
        <v>34564152.609316841</v>
      </c>
      <c r="R206" s="425">
        <f t="shared" si="66"/>
        <v>3473032.5287920129</v>
      </c>
    </row>
    <row r="207" spans="1:18" x14ac:dyDescent="0.3">
      <c r="A207" s="419">
        <v>14</v>
      </c>
      <c r="B207" s="420">
        <f t="shared" si="67"/>
        <v>2032</v>
      </c>
      <c r="C207" s="421">
        <v>37195.5</v>
      </c>
      <c r="D207" s="422">
        <f t="shared" si="68"/>
        <v>13576357.5</v>
      </c>
      <c r="E207" s="423">
        <v>0.7</v>
      </c>
      <c r="F207" s="429">
        <v>0.2</v>
      </c>
      <c r="G207" s="424">
        <f t="shared" si="64"/>
        <v>27.722000000000001</v>
      </c>
      <c r="H207" s="425">
        <f t="shared" si="59"/>
        <v>75272756.523000002</v>
      </c>
      <c r="I207" s="426">
        <v>3904.5</v>
      </c>
      <c r="J207" s="427">
        <f t="shared" si="69"/>
        <v>1425142.5</v>
      </c>
      <c r="K207" s="423">
        <v>0.7</v>
      </c>
      <c r="L207" s="429">
        <v>0.2</v>
      </c>
      <c r="M207" s="424">
        <v>29.5</v>
      </c>
      <c r="N207" s="425">
        <f t="shared" si="60"/>
        <v>8408340.75</v>
      </c>
      <c r="O207" s="425">
        <f t="shared" si="61"/>
        <v>83681097.273000002</v>
      </c>
      <c r="P207" s="425">
        <f t="shared" si="62"/>
        <v>32452972.26971725</v>
      </c>
      <c r="R207" s="425">
        <f t="shared" si="66"/>
        <v>3260899.5111985444</v>
      </c>
    </row>
    <row r="208" spans="1:18" x14ac:dyDescent="0.3">
      <c r="A208" s="419">
        <v>15</v>
      </c>
      <c r="B208" s="420">
        <f t="shared" si="67"/>
        <v>2033</v>
      </c>
      <c r="C208" s="421">
        <v>37376.5</v>
      </c>
      <c r="D208" s="422">
        <f t="shared" si="68"/>
        <v>13642422.5</v>
      </c>
      <c r="E208" s="423">
        <v>0.7</v>
      </c>
      <c r="F208" s="429">
        <v>0.2</v>
      </c>
      <c r="G208" s="424">
        <f t="shared" si="64"/>
        <v>27.722000000000001</v>
      </c>
      <c r="H208" s="425">
        <f t="shared" si="59"/>
        <v>75639047.309</v>
      </c>
      <c r="I208" s="426">
        <v>3923.5</v>
      </c>
      <c r="J208" s="427">
        <f t="shared" si="69"/>
        <v>1432077.5</v>
      </c>
      <c r="K208" s="423">
        <v>0.7</v>
      </c>
      <c r="L208" s="429">
        <v>0.2</v>
      </c>
      <c r="M208" s="424">
        <v>29.5</v>
      </c>
      <c r="N208" s="425">
        <f t="shared" si="60"/>
        <v>8449257.25</v>
      </c>
      <c r="O208" s="425">
        <f t="shared" si="61"/>
        <v>84088304.559</v>
      </c>
      <c r="P208" s="425">
        <f t="shared" si="62"/>
        <v>30477471.285884038</v>
      </c>
      <c r="R208" s="425">
        <f t="shared" si="66"/>
        <v>3062399.6591968499</v>
      </c>
    </row>
    <row r="209" spans="1:18" x14ac:dyDescent="0.3">
      <c r="A209" s="419">
        <v>16</v>
      </c>
      <c r="B209" s="420">
        <f t="shared" si="67"/>
        <v>2034</v>
      </c>
      <c r="C209" s="421">
        <v>37548.449999999997</v>
      </c>
      <c r="D209" s="422">
        <f t="shared" si="68"/>
        <v>13705184.249999998</v>
      </c>
      <c r="E209" s="423">
        <v>0.7</v>
      </c>
      <c r="F209" s="429">
        <v>0.2</v>
      </c>
      <c r="G209" s="424">
        <f t="shared" si="64"/>
        <v>27.722000000000001</v>
      </c>
      <c r="H209" s="425">
        <f t="shared" si="59"/>
        <v>75987023.555699989</v>
      </c>
      <c r="I209" s="426">
        <v>3941.55</v>
      </c>
      <c r="J209" s="427">
        <f t="shared" si="69"/>
        <v>1438665.75</v>
      </c>
      <c r="K209" s="423">
        <v>0.7</v>
      </c>
      <c r="L209" s="429">
        <v>0.2</v>
      </c>
      <c r="M209" s="424">
        <v>29.5</v>
      </c>
      <c r="N209" s="425">
        <f t="shared" si="60"/>
        <v>8488127.9250000007</v>
      </c>
      <c r="O209" s="425">
        <f t="shared" si="61"/>
        <v>84475151.480699986</v>
      </c>
      <c r="P209" s="425">
        <f t="shared" si="62"/>
        <v>28614656.460621588</v>
      </c>
      <c r="R209" s="425">
        <f t="shared" si="66"/>
        <v>2875222.5987209459</v>
      </c>
    </row>
    <row r="210" spans="1:18" x14ac:dyDescent="0.3">
      <c r="A210" s="419">
        <v>17</v>
      </c>
      <c r="B210" s="420">
        <f t="shared" si="67"/>
        <v>2035</v>
      </c>
      <c r="C210" s="421">
        <v>37729.449999999997</v>
      </c>
      <c r="D210" s="422">
        <f t="shared" si="68"/>
        <v>13771249.249999998</v>
      </c>
      <c r="E210" s="423">
        <v>0.7</v>
      </c>
      <c r="F210" s="429">
        <v>0.2</v>
      </c>
      <c r="G210" s="424">
        <f t="shared" si="64"/>
        <v>27.722000000000001</v>
      </c>
      <c r="H210" s="425">
        <f t="shared" si="59"/>
        <v>76353314.341699988</v>
      </c>
      <c r="I210" s="426">
        <v>3960.55</v>
      </c>
      <c r="J210" s="427">
        <f t="shared" si="69"/>
        <v>1445600.75</v>
      </c>
      <c r="K210" s="423">
        <v>0.7</v>
      </c>
      <c r="L210" s="429">
        <v>0.2</v>
      </c>
      <c r="M210" s="424">
        <v>29.5</v>
      </c>
      <c r="N210" s="425">
        <f t="shared" si="60"/>
        <v>8529044.4250000007</v>
      </c>
      <c r="O210" s="425">
        <f t="shared" si="61"/>
        <v>84882358.766699985</v>
      </c>
      <c r="P210" s="425">
        <f t="shared" si="62"/>
        <v>26871580.987723965</v>
      </c>
      <c r="R210" s="425">
        <f t="shared" si="66"/>
        <v>2700077.040085692</v>
      </c>
    </row>
    <row r="211" spans="1:18" x14ac:dyDescent="0.3">
      <c r="A211" s="419">
        <v>18</v>
      </c>
      <c r="B211" s="420">
        <f t="shared" si="67"/>
        <v>2036</v>
      </c>
      <c r="C211" s="421">
        <v>37901.4</v>
      </c>
      <c r="D211" s="422">
        <f t="shared" si="68"/>
        <v>13834011</v>
      </c>
      <c r="E211" s="423">
        <v>0.7</v>
      </c>
      <c r="F211" s="429">
        <v>0.2</v>
      </c>
      <c r="G211" s="424">
        <f t="shared" si="64"/>
        <v>27.722000000000001</v>
      </c>
      <c r="H211" s="425">
        <f t="shared" si="59"/>
        <v>76701290.588400006</v>
      </c>
      <c r="I211" s="426">
        <v>3978.6</v>
      </c>
      <c r="J211" s="427">
        <f t="shared" si="69"/>
        <v>1452189</v>
      </c>
      <c r="K211" s="423">
        <v>0.7</v>
      </c>
      <c r="L211" s="429">
        <v>0.2</v>
      </c>
      <c r="M211" s="424">
        <v>29.5</v>
      </c>
      <c r="N211" s="425">
        <f t="shared" si="60"/>
        <v>8567915.0999999996</v>
      </c>
      <c r="O211" s="425">
        <f t="shared" si="61"/>
        <v>85269205.6884</v>
      </c>
      <c r="P211" s="425">
        <f t="shared" si="62"/>
        <v>25228081.136601929</v>
      </c>
      <c r="R211" s="425">
        <f t="shared" si="66"/>
        <v>2534936.9161969582</v>
      </c>
    </row>
    <row r="212" spans="1:18" x14ac:dyDescent="0.3">
      <c r="A212" s="419">
        <v>19</v>
      </c>
      <c r="B212" s="420">
        <f t="shared" si="67"/>
        <v>2037</v>
      </c>
      <c r="C212" s="421">
        <v>38073.35</v>
      </c>
      <c r="D212" s="422">
        <f t="shared" si="68"/>
        <v>13896772.75</v>
      </c>
      <c r="E212" s="423">
        <v>0.7</v>
      </c>
      <c r="F212" s="429">
        <v>0.2</v>
      </c>
      <c r="G212" s="424">
        <f t="shared" si="64"/>
        <v>27.722000000000001</v>
      </c>
      <c r="H212" s="425">
        <f t="shared" si="59"/>
        <v>77049266.83510001</v>
      </c>
      <c r="I212" s="426">
        <v>3996.65</v>
      </c>
      <c r="J212" s="427">
        <f t="shared" si="69"/>
        <v>1458777.25</v>
      </c>
      <c r="K212" s="423">
        <v>0.7</v>
      </c>
      <c r="L212" s="429">
        <v>0.2</v>
      </c>
      <c r="M212" s="424">
        <v>29.5</v>
      </c>
      <c r="N212" s="425">
        <f t="shared" si="60"/>
        <v>8606785.7750000004</v>
      </c>
      <c r="O212" s="425">
        <f t="shared" si="61"/>
        <v>85656052.610100016</v>
      </c>
      <c r="P212" s="425">
        <f t="shared" si="62"/>
        <v>23684612.319507521</v>
      </c>
      <c r="R212" s="425">
        <f t="shared" si="66"/>
        <v>2379847.9872266562</v>
      </c>
    </row>
    <row r="213" spans="1:18" x14ac:dyDescent="0.3">
      <c r="A213" s="430">
        <v>20</v>
      </c>
      <c r="B213" s="420">
        <f t="shared" si="67"/>
        <v>2038</v>
      </c>
      <c r="C213" s="421">
        <v>38254.35</v>
      </c>
      <c r="D213" s="422">
        <f t="shared" si="68"/>
        <v>13962837.75</v>
      </c>
      <c r="E213" s="423">
        <v>0.7</v>
      </c>
      <c r="F213" s="429">
        <v>0.2</v>
      </c>
      <c r="G213" s="424">
        <f t="shared" si="64"/>
        <v>27.722000000000001</v>
      </c>
      <c r="H213" s="425">
        <f t="shared" si="59"/>
        <v>77415557.621100008</v>
      </c>
      <c r="I213" s="426">
        <v>4015.65</v>
      </c>
      <c r="J213" s="427">
        <f t="shared" si="69"/>
        <v>1465712.25</v>
      </c>
      <c r="K213" s="423">
        <v>0.7</v>
      </c>
      <c r="L213" s="429">
        <v>0.2</v>
      </c>
      <c r="M213" s="424">
        <v>29.5</v>
      </c>
      <c r="N213" s="425">
        <f t="shared" si="60"/>
        <v>8647702.2750000004</v>
      </c>
      <c r="O213" s="425">
        <f t="shared" si="61"/>
        <v>86063259.896100014</v>
      </c>
      <c r="P213" s="425">
        <f t="shared" si="62"/>
        <v>22240381.801260982</v>
      </c>
      <c r="R213" s="425">
        <f t="shared" si="66"/>
        <v>2234730.5985367238</v>
      </c>
    </row>
    <row r="214" spans="1:18" x14ac:dyDescent="0.3">
      <c r="A214" s="430">
        <v>21</v>
      </c>
      <c r="B214" s="420">
        <f t="shared" si="67"/>
        <v>2039</v>
      </c>
      <c r="C214" s="421">
        <v>38426.300000000003</v>
      </c>
      <c r="D214" s="422">
        <f t="shared" si="68"/>
        <v>14025599.500000002</v>
      </c>
      <c r="E214" s="423">
        <v>0.7</v>
      </c>
      <c r="F214" s="429">
        <v>0.2</v>
      </c>
      <c r="G214" s="424">
        <f t="shared" si="64"/>
        <v>27.722000000000001</v>
      </c>
      <c r="H214" s="425">
        <f t="shared" si="59"/>
        <v>77763533.867800012</v>
      </c>
      <c r="I214" s="426">
        <v>4033.7000000000003</v>
      </c>
      <c r="J214" s="427">
        <f t="shared" si="69"/>
        <v>1472300.5</v>
      </c>
      <c r="K214" s="423">
        <v>0.7</v>
      </c>
      <c r="L214" s="429">
        <v>0.2</v>
      </c>
      <c r="M214" s="424">
        <v>29.5</v>
      </c>
      <c r="N214" s="425">
        <f t="shared" si="60"/>
        <v>8686572.9500000011</v>
      </c>
      <c r="O214" s="425">
        <f t="shared" si="61"/>
        <v>86450106.817800015</v>
      </c>
      <c r="P214" s="425">
        <f t="shared" si="62"/>
        <v>20878832.146736737</v>
      </c>
      <c r="R214" s="425">
        <f t="shared" si="66"/>
        <v>2097921.0463634823</v>
      </c>
    </row>
    <row r="215" spans="1:18" x14ac:dyDescent="0.3">
      <c r="A215" s="430">
        <v>22</v>
      </c>
      <c r="B215" s="420">
        <f t="shared" si="67"/>
        <v>2040</v>
      </c>
      <c r="C215" s="421">
        <v>38607.300000000003</v>
      </c>
      <c r="D215" s="422">
        <f t="shared" si="68"/>
        <v>14091664.500000002</v>
      </c>
      <c r="E215" s="423">
        <v>0.7</v>
      </c>
      <c r="F215" s="429">
        <v>0.2</v>
      </c>
      <c r="G215" s="424">
        <f t="shared" si="64"/>
        <v>27.722000000000001</v>
      </c>
      <c r="H215" s="425">
        <f t="shared" si="59"/>
        <v>78129824.653800011</v>
      </c>
      <c r="I215" s="426">
        <v>4052.7000000000003</v>
      </c>
      <c r="J215" s="427">
        <f t="shared" si="69"/>
        <v>1479235.5</v>
      </c>
      <c r="K215" s="423">
        <v>0.7</v>
      </c>
      <c r="L215" s="429">
        <v>0.2</v>
      </c>
      <c r="M215" s="424">
        <v>29.5</v>
      </c>
      <c r="N215" s="425">
        <f t="shared" si="60"/>
        <v>8727489.4500000011</v>
      </c>
      <c r="O215" s="425">
        <f t="shared" si="61"/>
        <v>86857314.103800014</v>
      </c>
      <c r="P215" s="425">
        <f t="shared" si="62"/>
        <v>19604839.285348043</v>
      </c>
      <c r="R215" s="425">
        <f t="shared" si="66"/>
        <v>1969909.2678291202</v>
      </c>
    </row>
    <row r="216" spans="1:18" x14ac:dyDescent="0.3">
      <c r="A216" s="430">
        <v>23</v>
      </c>
      <c r="B216" s="420">
        <f t="shared" si="67"/>
        <v>2041</v>
      </c>
      <c r="C216" s="421">
        <v>38779.25</v>
      </c>
      <c r="D216" s="422">
        <f t="shared" si="68"/>
        <v>14154426.25</v>
      </c>
      <c r="E216" s="423">
        <v>0.7</v>
      </c>
      <c r="F216" s="429">
        <v>0.2</v>
      </c>
      <c r="G216" s="424">
        <f t="shared" si="64"/>
        <v>27.722000000000001</v>
      </c>
      <c r="H216" s="425">
        <f t="shared" si="59"/>
        <v>78477800.9005</v>
      </c>
      <c r="I216" s="426">
        <v>4070.75</v>
      </c>
      <c r="J216" s="427">
        <f t="shared" si="69"/>
        <v>1485823.75</v>
      </c>
      <c r="K216" s="423">
        <v>0.7</v>
      </c>
      <c r="L216" s="429">
        <v>0.2</v>
      </c>
      <c r="M216" s="424">
        <v>29.5</v>
      </c>
      <c r="N216" s="425">
        <f t="shared" si="60"/>
        <v>8766360.125</v>
      </c>
      <c r="O216" s="425">
        <f t="shared" si="61"/>
        <v>87244161.0255</v>
      </c>
      <c r="P216" s="425">
        <f t="shared" si="62"/>
        <v>18403883.858397048</v>
      </c>
      <c r="R216" s="425">
        <f t="shared" si="66"/>
        <v>1849236.346650494</v>
      </c>
    </row>
    <row r="217" spans="1:18" x14ac:dyDescent="0.3">
      <c r="A217" s="430">
        <v>24</v>
      </c>
      <c r="B217" s="420">
        <f t="shared" si="67"/>
        <v>2042</v>
      </c>
      <c r="C217" s="421">
        <v>38951.199999999997</v>
      </c>
      <c r="D217" s="422">
        <f t="shared" si="68"/>
        <v>14217187.999999998</v>
      </c>
      <c r="E217" s="423">
        <v>0.7</v>
      </c>
      <c r="F217" s="429">
        <v>0.2</v>
      </c>
      <c r="G217" s="424">
        <f t="shared" si="64"/>
        <v>27.722000000000001</v>
      </c>
      <c r="H217" s="425">
        <f t="shared" si="59"/>
        <v>78825777.147199988</v>
      </c>
      <c r="I217" s="426">
        <v>4088.8</v>
      </c>
      <c r="J217" s="427">
        <f t="shared" si="69"/>
        <v>1492412</v>
      </c>
      <c r="K217" s="423">
        <v>0.7</v>
      </c>
      <c r="L217" s="429">
        <v>0.2</v>
      </c>
      <c r="M217" s="424">
        <v>29.5</v>
      </c>
      <c r="N217" s="425">
        <f t="shared" si="60"/>
        <v>8805230.8000000007</v>
      </c>
      <c r="O217" s="425">
        <f t="shared" si="61"/>
        <v>87631007.947199985</v>
      </c>
      <c r="P217" s="425">
        <f t="shared" si="62"/>
        <v>17276157.01949659</v>
      </c>
      <c r="R217" s="425">
        <f t="shared" si="66"/>
        <v>1735921.4900890363</v>
      </c>
    </row>
    <row r="218" spans="1:18" x14ac:dyDescent="0.3">
      <c r="A218" s="430">
        <v>25</v>
      </c>
      <c r="B218" s="420">
        <f t="shared" si="67"/>
        <v>2043</v>
      </c>
      <c r="C218" s="421">
        <v>39132.199999999997</v>
      </c>
      <c r="D218" s="422">
        <f t="shared" si="68"/>
        <v>14283252.999999998</v>
      </c>
      <c r="E218" s="423">
        <v>0.7</v>
      </c>
      <c r="F218" s="429">
        <v>0.2</v>
      </c>
      <c r="G218" s="424">
        <f t="shared" si="64"/>
        <v>27.722000000000001</v>
      </c>
      <c r="H218" s="425">
        <f t="shared" si="59"/>
        <v>79192067.933199987</v>
      </c>
      <c r="I218" s="426">
        <v>4107.8</v>
      </c>
      <c r="J218" s="427">
        <f t="shared" si="69"/>
        <v>1499347</v>
      </c>
      <c r="K218" s="423">
        <v>0.7</v>
      </c>
      <c r="L218" s="429">
        <v>0.2</v>
      </c>
      <c r="M218" s="424">
        <v>29.5</v>
      </c>
      <c r="N218" s="425">
        <f t="shared" si="60"/>
        <v>8846147.3000000007</v>
      </c>
      <c r="O218" s="425">
        <f t="shared" si="61"/>
        <v>88038215.233199984</v>
      </c>
      <c r="P218" s="425">
        <f t="shared" si="62"/>
        <v>16220968.747243</v>
      </c>
      <c r="R218" s="425">
        <f t="shared" si="66"/>
        <v>1629895.3642655804</v>
      </c>
    </row>
    <row r="219" spans="1:18" x14ac:dyDescent="0.3">
      <c r="A219" s="430">
        <v>26</v>
      </c>
      <c r="B219" s="420">
        <f t="shared" si="67"/>
        <v>2044</v>
      </c>
      <c r="C219" s="421">
        <v>39304.15</v>
      </c>
      <c r="D219" s="422">
        <f t="shared" si="68"/>
        <v>14346014.75</v>
      </c>
      <c r="E219" s="423">
        <v>0.7</v>
      </c>
      <c r="F219" s="429">
        <v>0.2</v>
      </c>
      <c r="G219" s="424">
        <f t="shared" si="64"/>
        <v>27.722000000000001</v>
      </c>
      <c r="H219" s="425">
        <f t="shared" si="59"/>
        <v>79540044.179900005</v>
      </c>
      <c r="I219" s="426">
        <v>4125.8500000000004</v>
      </c>
      <c r="J219" s="427">
        <f t="shared" si="69"/>
        <v>1505935.2500000002</v>
      </c>
      <c r="K219" s="423">
        <v>0.7</v>
      </c>
      <c r="L219" s="429">
        <v>0.2</v>
      </c>
      <c r="M219" s="424">
        <v>29.5</v>
      </c>
      <c r="N219" s="425">
        <f t="shared" si="60"/>
        <v>8885017.9750000015</v>
      </c>
      <c r="O219" s="425">
        <f t="shared" si="61"/>
        <v>88425062.154900014</v>
      </c>
      <c r="P219" s="425">
        <f t="shared" si="62"/>
        <v>15226397.172330134</v>
      </c>
      <c r="R219" s="425">
        <f t="shared" si="66"/>
        <v>1529960.0506206215</v>
      </c>
    </row>
    <row r="220" spans="1:18" x14ac:dyDescent="0.3">
      <c r="A220" s="430">
        <v>27</v>
      </c>
      <c r="B220" s="420">
        <f t="shared" si="67"/>
        <v>2045</v>
      </c>
      <c r="C220" s="421">
        <v>39476.1</v>
      </c>
      <c r="D220" s="422">
        <f t="shared" si="68"/>
        <v>14408776.5</v>
      </c>
      <c r="E220" s="423">
        <v>0.7</v>
      </c>
      <c r="F220" s="429">
        <v>0.2</v>
      </c>
      <c r="G220" s="424">
        <f t="shared" si="64"/>
        <v>27.722000000000001</v>
      </c>
      <c r="H220" s="425">
        <f t="shared" si="59"/>
        <v>79888020.426600009</v>
      </c>
      <c r="I220" s="426">
        <v>4143.8999999999996</v>
      </c>
      <c r="J220" s="427">
        <f t="shared" si="69"/>
        <v>1512523.4999999998</v>
      </c>
      <c r="K220" s="423">
        <v>0.7</v>
      </c>
      <c r="L220" s="429">
        <v>0.2</v>
      </c>
      <c r="M220" s="424">
        <v>29.5</v>
      </c>
      <c r="N220" s="425">
        <f t="shared" si="60"/>
        <v>8923888.6499999985</v>
      </c>
      <c r="O220" s="425">
        <f t="shared" si="61"/>
        <v>88811909.076600015</v>
      </c>
      <c r="P220" s="425">
        <f t="shared" si="62"/>
        <v>14292533.148347868</v>
      </c>
      <c r="R220" s="425">
        <f t="shared" si="66"/>
        <v>1436124.6781924609</v>
      </c>
    </row>
    <row r="221" spans="1:18" x14ac:dyDescent="0.3">
      <c r="A221" s="430">
        <v>28</v>
      </c>
      <c r="B221" s="420">
        <f t="shared" si="67"/>
        <v>2046</v>
      </c>
      <c r="C221" s="421">
        <v>39657.1</v>
      </c>
      <c r="D221" s="422">
        <f t="shared" si="68"/>
        <v>14474841.5</v>
      </c>
      <c r="E221" s="423">
        <v>0.7</v>
      </c>
      <c r="F221" s="429">
        <v>0.2</v>
      </c>
      <c r="G221" s="424">
        <f t="shared" si="64"/>
        <v>27.722000000000001</v>
      </c>
      <c r="H221" s="425">
        <f t="shared" si="59"/>
        <v>80254311.212600008</v>
      </c>
      <c r="I221" s="426">
        <v>4162.8999999999996</v>
      </c>
      <c r="J221" s="427">
        <f t="shared" si="69"/>
        <v>1519458.4999999998</v>
      </c>
      <c r="K221" s="423">
        <v>0.7</v>
      </c>
      <c r="L221" s="429">
        <v>0.2</v>
      </c>
      <c r="M221" s="424">
        <v>29.5</v>
      </c>
      <c r="N221" s="425">
        <f t="shared" si="60"/>
        <v>8964805.1499999985</v>
      </c>
      <c r="O221" s="425">
        <f t="shared" si="61"/>
        <v>89219116.362599999</v>
      </c>
      <c r="P221" s="425">
        <f t="shared" si="62"/>
        <v>13418752.492010515</v>
      </c>
      <c r="R221" s="425">
        <f t="shared" si="66"/>
        <v>1348326.5285664564</v>
      </c>
    </row>
    <row r="222" spans="1:18" x14ac:dyDescent="0.3">
      <c r="A222" s="430">
        <v>29</v>
      </c>
      <c r="B222" s="420">
        <f t="shared" si="67"/>
        <v>2047</v>
      </c>
      <c r="C222" s="421">
        <v>39829.050000000003</v>
      </c>
      <c r="D222" s="422">
        <f t="shared" si="68"/>
        <v>14537603.250000002</v>
      </c>
      <c r="E222" s="423">
        <v>0.7</v>
      </c>
      <c r="F222" s="429">
        <v>0.2</v>
      </c>
      <c r="G222" s="424">
        <f t="shared" si="64"/>
        <v>27.722000000000001</v>
      </c>
      <c r="H222" s="425">
        <f t="shared" si="59"/>
        <v>80602287.459300011</v>
      </c>
      <c r="I222" s="426">
        <v>4180.95</v>
      </c>
      <c r="J222" s="427">
        <f t="shared" si="69"/>
        <v>1526046.75</v>
      </c>
      <c r="K222" s="423">
        <v>0.7</v>
      </c>
      <c r="L222" s="429">
        <v>0.2</v>
      </c>
      <c r="M222" s="424">
        <v>29.5</v>
      </c>
      <c r="N222" s="425">
        <f t="shared" si="60"/>
        <v>9003675.8250000011</v>
      </c>
      <c r="O222" s="425">
        <f t="shared" si="61"/>
        <v>89605963.284300014</v>
      </c>
      <c r="P222" s="425">
        <f t="shared" si="62"/>
        <v>12595266.471874809</v>
      </c>
      <c r="R222" s="425">
        <f t="shared" si="66"/>
        <v>1265582.0225094538</v>
      </c>
    </row>
    <row r="223" spans="1:18" x14ac:dyDescent="0.3">
      <c r="A223" s="430">
        <f>1+A222</f>
        <v>30</v>
      </c>
      <c r="B223" s="420">
        <f t="shared" si="67"/>
        <v>2048</v>
      </c>
      <c r="C223" s="421">
        <v>40010.050000000003</v>
      </c>
      <c r="D223" s="422">
        <f t="shared" si="68"/>
        <v>14603668.250000002</v>
      </c>
      <c r="E223" s="423">
        <v>0.7</v>
      </c>
      <c r="F223" s="429">
        <v>0.2</v>
      </c>
      <c r="G223" s="424">
        <f t="shared" si="64"/>
        <v>27.722000000000001</v>
      </c>
      <c r="H223" s="425">
        <f t="shared" si="59"/>
        <v>80968578.24530001</v>
      </c>
      <c r="I223" s="426">
        <v>4199.95</v>
      </c>
      <c r="J223" s="427">
        <f t="shared" si="69"/>
        <v>1532981.75</v>
      </c>
      <c r="K223" s="423">
        <v>0.7</v>
      </c>
      <c r="L223" s="429">
        <v>0.2</v>
      </c>
      <c r="M223" s="424">
        <v>29.5</v>
      </c>
      <c r="N223" s="425">
        <f t="shared" si="60"/>
        <v>9044592.3250000011</v>
      </c>
      <c r="O223" s="425">
        <f t="shared" si="61"/>
        <v>90013170.570300013</v>
      </c>
      <c r="P223" s="425">
        <f t="shared" si="62"/>
        <v>11824770.723764677</v>
      </c>
      <c r="R223" s="425">
        <f t="shared" si="66"/>
        <v>1188162.0195737788</v>
      </c>
    </row>
    <row r="224" spans="1:18" x14ac:dyDescent="0.3">
      <c r="A224" s="430">
        <f>1+A223</f>
        <v>31</v>
      </c>
      <c r="B224" s="431">
        <f t="shared" si="67"/>
        <v>2049</v>
      </c>
      <c r="C224" s="421">
        <v>40010.050000000003</v>
      </c>
      <c r="D224" s="427">
        <f t="shared" si="68"/>
        <v>14603668.250000002</v>
      </c>
      <c r="E224" s="423">
        <v>0.7</v>
      </c>
      <c r="F224" s="429">
        <v>0.2</v>
      </c>
      <c r="G224" s="424">
        <f t="shared" si="64"/>
        <v>27.722000000000001</v>
      </c>
      <c r="H224" s="425">
        <f t="shared" si="59"/>
        <v>80968578.24530001</v>
      </c>
      <c r="I224" s="426">
        <v>4199.95</v>
      </c>
      <c r="J224" s="427">
        <f t="shared" si="69"/>
        <v>1532981.75</v>
      </c>
      <c r="K224" s="423">
        <v>0.7</v>
      </c>
      <c r="L224" s="429">
        <v>0.2</v>
      </c>
      <c r="M224" s="424">
        <v>29.5</v>
      </c>
      <c r="N224" s="425">
        <f t="shared" si="60"/>
        <v>9044592.3250000011</v>
      </c>
      <c r="O224" s="425">
        <f t="shared" si="61"/>
        <v>90013170.570300013</v>
      </c>
      <c r="P224" s="425">
        <f t="shared" si="62"/>
        <v>11051187.592303434</v>
      </c>
      <c r="R224" s="425">
        <f t="shared" si="66"/>
        <v>1110431.7939941857</v>
      </c>
    </row>
    <row r="225" spans="1:18" x14ac:dyDescent="0.3">
      <c r="A225" s="568" t="s">
        <v>11</v>
      </c>
      <c r="B225" s="569"/>
      <c r="C225" s="569"/>
      <c r="D225" s="569"/>
      <c r="E225" s="569"/>
      <c r="F225" s="569"/>
      <c r="G225" s="569"/>
      <c r="H225" s="569"/>
      <c r="I225" s="569"/>
      <c r="J225" s="569"/>
      <c r="K225" s="569"/>
      <c r="L225" s="569"/>
      <c r="M225" s="569"/>
      <c r="N225" s="569"/>
      <c r="O225" s="570"/>
      <c r="P225" s="432">
        <f>SUM(P193:P222)</f>
        <v>631972888.49498165</v>
      </c>
      <c r="R225" s="432">
        <f>SUM(R193:R222)</f>
        <v>63501119.899178118</v>
      </c>
    </row>
    <row r="227" spans="1:18" ht="21" customHeight="1" x14ac:dyDescent="0.25">
      <c r="A227" s="571" t="s">
        <v>180</v>
      </c>
      <c r="B227" s="572"/>
      <c r="C227" s="572"/>
      <c r="D227" s="434"/>
      <c r="E227" s="434"/>
      <c r="F227" s="434"/>
      <c r="G227" s="434"/>
      <c r="H227" s="434"/>
      <c r="I227" s="434"/>
      <c r="J227" s="434"/>
      <c r="K227" s="434"/>
      <c r="L227" s="434"/>
      <c r="M227" s="435"/>
      <c r="N227" s="435"/>
      <c r="O227" s="435"/>
      <c r="P227" s="436">
        <f>SUM(P225,P188,P151,P114,P76,P36)</f>
        <v>1057128308.3845373</v>
      </c>
      <c r="Q227" s="32"/>
      <c r="R227" s="437">
        <f>SUM(R225,R188,R151,R114,R76,R36)</f>
        <v>91520247.241407663</v>
      </c>
    </row>
  </sheetData>
  <mergeCells count="15">
    <mergeCell ref="A227:C227"/>
    <mergeCell ref="A151:O151"/>
    <mergeCell ref="A153:P153"/>
    <mergeCell ref="A188:O188"/>
    <mergeCell ref="A190:P190"/>
    <mergeCell ref="A225:O225"/>
    <mergeCell ref="A78:E78"/>
    <mergeCell ref="A79:P79"/>
    <mergeCell ref="A114:O114"/>
    <mergeCell ref="A116:P116"/>
    <mergeCell ref="A1:P1"/>
    <mergeCell ref="A36:O36"/>
    <mergeCell ref="A38:E38"/>
    <mergeCell ref="A41:P41"/>
    <mergeCell ref="A76:O76"/>
  </mergeCells>
  <pageMargins left="0.2" right="0.2" top="0.25" bottom="0.25" header="0" footer="0"/>
  <pageSetup paperSize="5" scale="8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F223"/>
  <sheetViews>
    <sheetView showGridLines="0" zoomScale="75" zoomScaleNormal="75" zoomScalePageLayoutView="75" workbookViewId="0">
      <selection activeCell="L2" sqref="L2"/>
    </sheetView>
  </sheetViews>
  <sheetFormatPr defaultColWidth="38.109375" defaultRowHeight="15" customHeight="1" x14ac:dyDescent="0.25"/>
  <cols>
    <col min="1" max="1" width="7.6640625" style="7" customWidth="1"/>
    <col min="2" max="2" width="10.5546875" style="7" customWidth="1"/>
    <col min="3" max="6" width="12.88671875" style="7" customWidth="1"/>
    <col min="7" max="7" width="19.5546875" style="7" customWidth="1"/>
    <col min="8" max="8" width="23.109375" style="7" customWidth="1"/>
    <col min="9" max="9" width="32.33203125" style="7" customWidth="1"/>
    <col min="10" max="10" width="17.44140625" style="7" customWidth="1"/>
    <col min="11" max="11" width="18.88671875" style="7" customWidth="1"/>
    <col min="12" max="240" width="38.109375" style="7" customWidth="1"/>
    <col min="241" max="16384" width="38.109375" style="8"/>
  </cols>
  <sheetData>
    <row r="1" spans="1:240" ht="15" customHeight="1" x14ac:dyDescent="0.25">
      <c r="A1" s="573" t="s">
        <v>144</v>
      </c>
      <c r="B1" s="574"/>
      <c r="C1" s="574"/>
      <c r="D1" s="574"/>
      <c r="E1" s="574"/>
      <c r="F1" s="574"/>
      <c r="G1" s="574"/>
      <c r="H1" s="574"/>
      <c r="I1" s="574"/>
      <c r="J1" s="574"/>
      <c r="K1" s="575"/>
      <c r="M1" s="191"/>
      <c r="N1" s="191"/>
      <c r="O1" s="191"/>
    </row>
    <row r="2" spans="1:240" ht="15.75" customHeight="1" x14ac:dyDescent="0.3">
      <c r="A2" s="438" t="s">
        <v>145</v>
      </c>
      <c r="B2" s="438" t="s">
        <v>146</v>
      </c>
      <c r="C2" s="438" t="s">
        <v>147</v>
      </c>
      <c r="D2" s="438" t="s">
        <v>148</v>
      </c>
      <c r="E2" s="438" t="s">
        <v>149</v>
      </c>
      <c r="F2" s="438" t="s">
        <v>150</v>
      </c>
      <c r="G2" s="438" t="s">
        <v>155</v>
      </c>
      <c r="H2" s="438" t="s">
        <v>88</v>
      </c>
      <c r="I2" s="438" t="s">
        <v>156</v>
      </c>
      <c r="J2" s="438" t="s">
        <v>157</v>
      </c>
      <c r="K2" s="438" t="s">
        <v>158</v>
      </c>
      <c r="M2" s="415"/>
      <c r="N2" s="415"/>
      <c r="O2" s="415"/>
    </row>
    <row r="3" spans="1:240" ht="170.1" customHeight="1" x14ac:dyDescent="0.3">
      <c r="A3" s="314" t="s">
        <v>29</v>
      </c>
      <c r="B3" s="314" t="s">
        <v>30</v>
      </c>
      <c r="C3" s="314" t="s">
        <v>181</v>
      </c>
      <c r="D3" s="314" t="s">
        <v>182</v>
      </c>
      <c r="E3" s="314" t="s">
        <v>183</v>
      </c>
      <c r="F3" s="314" t="s">
        <v>184</v>
      </c>
      <c r="G3" s="314" t="s">
        <v>185</v>
      </c>
      <c r="H3" s="314" t="s">
        <v>186</v>
      </c>
      <c r="I3" s="314" t="s">
        <v>187</v>
      </c>
      <c r="J3" s="314" t="s">
        <v>188</v>
      </c>
      <c r="K3" s="439" t="s">
        <v>32</v>
      </c>
      <c r="M3" s="417" t="s">
        <v>189</v>
      </c>
      <c r="N3" s="417" t="s">
        <v>190</v>
      </c>
      <c r="O3" s="417" t="s">
        <v>191</v>
      </c>
      <c r="IC3" s="8"/>
      <c r="ID3" s="8"/>
      <c r="IE3" s="8"/>
      <c r="IF3" s="8"/>
    </row>
    <row r="4" spans="1:240" ht="17.399999999999999" customHeight="1" x14ac:dyDescent="0.3">
      <c r="A4" s="440">
        <v>0</v>
      </c>
      <c r="B4" s="441">
        <v>2018</v>
      </c>
      <c r="C4" s="421">
        <v>29340</v>
      </c>
      <c r="D4" s="30">
        <f>C4*365</f>
        <v>10709100</v>
      </c>
      <c r="E4" s="423">
        <v>0</v>
      </c>
      <c r="F4" s="426">
        <f t="shared" ref="F4:F35" si="0">D4*E4</f>
        <v>0</v>
      </c>
      <c r="G4" s="442">
        <f t="shared" ref="G4:G10" si="1">(F4)/100000000*9600000*0.932</f>
        <v>0</v>
      </c>
      <c r="H4" s="442">
        <f t="shared" ref="H4:H10" si="2">(F4)/100000000*9600000*0.003*56</f>
        <v>0</v>
      </c>
      <c r="I4" s="442">
        <f t="shared" ref="I4:I10" si="3">(F4)/100000000*166*4400</f>
        <v>0</v>
      </c>
      <c r="J4" s="442">
        <f>G4+H4+I4</f>
        <v>0</v>
      </c>
      <c r="K4" s="442">
        <f t="shared" ref="K4:K35" si="4">J4/(1+0.07)^A4</f>
        <v>0</v>
      </c>
      <c r="M4" s="425">
        <f>G4/(1+0.07)^$A4</f>
        <v>0</v>
      </c>
      <c r="N4" s="425">
        <f t="shared" ref="N4:O4" si="5">H4/(1+0.07)^$A4</f>
        <v>0</v>
      </c>
      <c r="O4" s="425">
        <f t="shared" si="5"/>
        <v>0</v>
      </c>
      <c r="IC4" s="8"/>
      <c r="ID4" s="8"/>
      <c r="IE4" s="8"/>
      <c r="IF4" s="8"/>
    </row>
    <row r="5" spans="1:240" ht="17.100000000000001" customHeight="1" x14ac:dyDescent="0.3">
      <c r="A5" s="440">
        <v>1</v>
      </c>
      <c r="B5" s="441">
        <f>1+B4</f>
        <v>2019</v>
      </c>
      <c r="C5" s="421">
        <v>29480</v>
      </c>
      <c r="D5" s="30">
        <f t="shared" ref="D5:D13" si="6">C5*365</f>
        <v>10760200</v>
      </c>
      <c r="E5" s="423">
        <v>0</v>
      </c>
      <c r="F5" s="426">
        <f t="shared" si="0"/>
        <v>0</v>
      </c>
      <c r="G5" s="442">
        <f t="shared" si="1"/>
        <v>0</v>
      </c>
      <c r="H5" s="442">
        <f t="shared" si="2"/>
        <v>0</v>
      </c>
      <c r="I5" s="442">
        <f t="shared" si="3"/>
        <v>0</v>
      </c>
      <c r="J5" s="442">
        <f t="shared" ref="J5:J35" si="7">G5+H5+I5</f>
        <v>0</v>
      </c>
      <c r="K5" s="442">
        <f t="shared" si="4"/>
        <v>0</v>
      </c>
      <c r="M5" s="425">
        <f t="shared" ref="M5:M35" si="8">G5/(1+0.07)^$A5</f>
        <v>0</v>
      </c>
      <c r="N5" s="425">
        <f t="shared" ref="N5:N35" si="9">H5/(1+0.07)^$A5</f>
        <v>0</v>
      </c>
      <c r="O5" s="425">
        <f t="shared" ref="O5:O35" si="10">I5/(1+0.07)^$A5</f>
        <v>0</v>
      </c>
      <c r="IC5" s="8"/>
      <c r="ID5" s="8"/>
      <c r="IE5" s="8"/>
      <c r="IF5" s="8"/>
    </row>
    <row r="6" spans="1:240" ht="17.100000000000001" customHeight="1" x14ac:dyDescent="0.3">
      <c r="A6" s="440">
        <v>2</v>
      </c>
      <c r="B6" s="441">
        <f t="shared" ref="B6:B35" si="11">1+B5</f>
        <v>2020</v>
      </c>
      <c r="C6" s="421">
        <v>29630</v>
      </c>
      <c r="D6" s="30">
        <f t="shared" si="6"/>
        <v>10814950</v>
      </c>
      <c r="E6" s="423">
        <v>0</v>
      </c>
      <c r="F6" s="426">
        <f t="shared" si="0"/>
        <v>0</v>
      </c>
      <c r="G6" s="442">
        <f t="shared" si="1"/>
        <v>0</v>
      </c>
      <c r="H6" s="442">
        <f t="shared" si="2"/>
        <v>0</v>
      </c>
      <c r="I6" s="442">
        <f t="shared" si="3"/>
        <v>0</v>
      </c>
      <c r="J6" s="442">
        <f t="shared" si="7"/>
        <v>0</v>
      </c>
      <c r="K6" s="442">
        <f t="shared" si="4"/>
        <v>0</v>
      </c>
      <c r="M6" s="425">
        <f t="shared" si="8"/>
        <v>0</v>
      </c>
      <c r="N6" s="425">
        <f t="shared" si="9"/>
        <v>0</v>
      </c>
      <c r="O6" s="425">
        <f t="shared" si="10"/>
        <v>0</v>
      </c>
      <c r="IC6" s="8"/>
      <c r="ID6" s="8"/>
      <c r="IE6" s="8"/>
      <c r="IF6" s="8"/>
    </row>
    <row r="7" spans="1:240" ht="17.100000000000001" customHeight="1" x14ac:dyDescent="0.3">
      <c r="A7" s="440">
        <v>3</v>
      </c>
      <c r="B7" s="441">
        <f t="shared" si="11"/>
        <v>2021</v>
      </c>
      <c r="C7" s="421">
        <v>29770</v>
      </c>
      <c r="D7" s="30">
        <f t="shared" si="6"/>
        <v>10866050</v>
      </c>
      <c r="E7" s="423">
        <v>0</v>
      </c>
      <c r="F7" s="426">
        <f t="shared" si="0"/>
        <v>0</v>
      </c>
      <c r="G7" s="442">
        <f t="shared" si="1"/>
        <v>0</v>
      </c>
      <c r="H7" s="442">
        <f t="shared" si="2"/>
        <v>0</v>
      </c>
      <c r="I7" s="442">
        <f t="shared" si="3"/>
        <v>0</v>
      </c>
      <c r="J7" s="442">
        <f t="shared" si="7"/>
        <v>0</v>
      </c>
      <c r="K7" s="442">
        <f t="shared" si="4"/>
        <v>0</v>
      </c>
      <c r="M7" s="425">
        <f t="shared" si="8"/>
        <v>0</v>
      </c>
      <c r="N7" s="425">
        <f t="shared" si="9"/>
        <v>0</v>
      </c>
      <c r="O7" s="425">
        <f t="shared" si="10"/>
        <v>0</v>
      </c>
      <c r="IC7" s="8"/>
      <c r="ID7" s="8"/>
      <c r="IE7" s="8"/>
      <c r="IF7" s="8"/>
    </row>
    <row r="8" spans="1:240" ht="17.100000000000001" customHeight="1" x14ac:dyDescent="0.3">
      <c r="A8" s="440">
        <v>4</v>
      </c>
      <c r="B8" s="441">
        <f t="shared" si="11"/>
        <v>2022</v>
      </c>
      <c r="C8" s="421">
        <v>29920</v>
      </c>
      <c r="D8" s="30">
        <f t="shared" si="6"/>
        <v>10920800</v>
      </c>
      <c r="E8" s="423">
        <v>0</v>
      </c>
      <c r="F8" s="426">
        <f t="shared" si="0"/>
        <v>0</v>
      </c>
      <c r="G8" s="442">
        <f t="shared" si="1"/>
        <v>0</v>
      </c>
      <c r="H8" s="442">
        <f t="shared" si="2"/>
        <v>0</v>
      </c>
      <c r="I8" s="442">
        <f t="shared" si="3"/>
        <v>0</v>
      </c>
      <c r="J8" s="442">
        <f t="shared" si="7"/>
        <v>0</v>
      </c>
      <c r="K8" s="442">
        <f t="shared" si="4"/>
        <v>0</v>
      </c>
      <c r="M8" s="425">
        <f t="shared" si="8"/>
        <v>0</v>
      </c>
      <c r="N8" s="425">
        <f t="shared" si="9"/>
        <v>0</v>
      </c>
      <c r="O8" s="425">
        <f t="shared" si="10"/>
        <v>0</v>
      </c>
      <c r="IC8" s="8"/>
      <c r="ID8" s="8"/>
      <c r="IE8" s="8"/>
      <c r="IF8" s="8"/>
    </row>
    <row r="9" spans="1:240" ht="17.100000000000001" customHeight="1" x14ac:dyDescent="0.3">
      <c r="A9" s="440">
        <v>5</v>
      </c>
      <c r="B9" s="441">
        <f t="shared" si="11"/>
        <v>2023</v>
      </c>
      <c r="C9" s="421">
        <v>30060</v>
      </c>
      <c r="D9" s="30">
        <f t="shared" si="6"/>
        <v>10971900</v>
      </c>
      <c r="E9" s="423">
        <v>0</v>
      </c>
      <c r="F9" s="426">
        <f t="shared" si="0"/>
        <v>0</v>
      </c>
      <c r="G9" s="442">
        <f t="shared" si="1"/>
        <v>0</v>
      </c>
      <c r="H9" s="442">
        <f t="shared" si="2"/>
        <v>0</v>
      </c>
      <c r="I9" s="442">
        <f t="shared" si="3"/>
        <v>0</v>
      </c>
      <c r="J9" s="442">
        <f t="shared" si="7"/>
        <v>0</v>
      </c>
      <c r="K9" s="442">
        <f t="shared" si="4"/>
        <v>0</v>
      </c>
      <c r="M9" s="425">
        <f t="shared" si="8"/>
        <v>0</v>
      </c>
      <c r="N9" s="425">
        <f t="shared" si="9"/>
        <v>0</v>
      </c>
      <c r="O9" s="425">
        <f t="shared" si="10"/>
        <v>0</v>
      </c>
      <c r="IC9" s="8"/>
      <c r="ID9" s="8"/>
      <c r="IE9" s="8"/>
      <c r="IF9" s="8"/>
    </row>
    <row r="10" spans="1:240" ht="17.100000000000001" customHeight="1" x14ac:dyDescent="0.3">
      <c r="A10" s="440">
        <v>6</v>
      </c>
      <c r="B10" s="441">
        <f t="shared" si="11"/>
        <v>2024</v>
      </c>
      <c r="C10" s="421">
        <v>30210</v>
      </c>
      <c r="D10" s="30">
        <f t="shared" si="6"/>
        <v>11026650</v>
      </c>
      <c r="E10" s="423">
        <v>0</v>
      </c>
      <c r="F10" s="426">
        <f t="shared" si="0"/>
        <v>0</v>
      </c>
      <c r="G10" s="442">
        <f t="shared" si="1"/>
        <v>0</v>
      </c>
      <c r="H10" s="442">
        <f t="shared" si="2"/>
        <v>0</v>
      </c>
      <c r="I10" s="442">
        <f t="shared" si="3"/>
        <v>0</v>
      </c>
      <c r="J10" s="442">
        <f t="shared" si="7"/>
        <v>0</v>
      </c>
      <c r="K10" s="442">
        <f t="shared" si="4"/>
        <v>0</v>
      </c>
      <c r="M10" s="425">
        <f t="shared" si="8"/>
        <v>0</v>
      </c>
      <c r="N10" s="425">
        <f t="shared" si="9"/>
        <v>0</v>
      </c>
      <c r="O10" s="425">
        <f t="shared" si="10"/>
        <v>0</v>
      </c>
      <c r="IC10" s="8"/>
      <c r="ID10" s="8"/>
      <c r="IE10" s="8"/>
      <c r="IF10" s="8"/>
    </row>
    <row r="11" spans="1:240" ht="17.100000000000001" customHeight="1" x14ac:dyDescent="0.3">
      <c r="A11" s="440">
        <v>7</v>
      </c>
      <c r="B11" s="441">
        <f t="shared" si="11"/>
        <v>2025</v>
      </c>
      <c r="C11" s="421">
        <v>30350</v>
      </c>
      <c r="D11" s="30">
        <f t="shared" si="6"/>
        <v>11077750</v>
      </c>
      <c r="E11" s="428">
        <v>-0.7</v>
      </c>
      <c r="F11" s="426">
        <f t="shared" si="0"/>
        <v>-7754424.9999999991</v>
      </c>
      <c r="G11" s="442">
        <f>(F11)/100000000*9600000*0.932</f>
        <v>-693803.91359999997</v>
      </c>
      <c r="H11" s="442">
        <f>(F11)/100000000*9600000*0.003*56</f>
        <v>-125063.36639999998</v>
      </c>
      <c r="I11" s="442">
        <f>(F11)/100000000*166*4400</f>
        <v>-56638.320200000002</v>
      </c>
      <c r="J11" s="442">
        <f t="shared" si="7"/>
        <v>-875505.60019999987</v>
      </c>
      <c r="K11" s="442">
        <f t="shared" si="4"/>
        <v>-545220.88654306391</v>
      </c>
      <c r="M11" s="425">
        <f t="shared" si="8"/>
        <v>-432066.20811291912</v>
      </c>
      <c r="N11" s="425">
        <f t="shared" si="9"/>
        <v>-77883.17914481803</v>
      </c>
      <c r="O11" s="425">
        <f t="shared" si="10"/>
        <v>-35271.499285326827</v>
      </c>
      <c r="IC11" s="8"/>
      <c r="ID11" s="8"/>
      <c r="IE11" s="8"/>
      <c r="IF11" s="8"/>
    </row>
    <row r="12" spans="1:240" ht="17.100000000000001" customHeight="1" x14ac:dyDescent="0.3">
      <c r="A12" s="440">
        <v>8</v>
      </c>
      <c r="B12" s="441">
        <f t="shared" si="11"/>
        <v>2026</v>
      </c>
      <c r="C12" s="421">
        <v>30500</v>
      </c>
      <c r="D12" s="30">
        <f t="shared" si="6"/>
        <v>11132500</v>
      </c>
      <c r="E12" s="423">
        <v>-0.7</v>
      </c>
      <c r="F12" s="426">
        <f t="shared" si="0"/>
        <v>-7792749.9999999991</v>
      </c>
      <c r="G12" s="442">
        <f t="shared" ref="G12:G35" si="12">(F12)/100000000*9600000*0.932</f>
        <v>-697232.92800000007</v>
      </c>
      <c r="H12" s="442">
        <f t="shared" ref="H12:H35" si="13">(F12)/100000000*9600000*0.003*56</f>
        <v>-125681.47199999999</v>
      </c>
      <c r="I12" s="442">
        <f t="shared" ref="I12:I35" si="14">(F12)/100000000*166*4400</f>
        <v>-56918.245999999999</v>
      </c>
      <c r="J12" s="442">
        <f t="shared" si="7"/>
        <v>-879832.64600000007</v>
      </c>
      <c r="K12" s="442">
        <f t="shared" si="4"/>
        <v>-512070.61046554847</v>
      </c>
      <c r="M12" s="425">
        <f t="shared" si="8"/>
        <v>-405795.91209853993</v>
      </c>
      <c r="N12" s="425">
        <f t="shared" si="9"/>
        <v>-73147.760979135943</v>
      </c>
      <c r="O12" s="425">
        <f t="shared" si="10"/>
        <v>-33126.937387872582</v>
      </c>
      <c r="IC12" s="8"/>
      <c r="ID12" s="8"/>
      <c r="IE12" s="8"/>
      <c r="IF12" s="8"/>
    </row>
    <row r="13" spans="1:240" ht="17.100000000000001" customHeight="1" x14ac:dyDescent="0.3">
      <c r="A13" s="440">
        <v>9</v>
      </c>
      <c r="B13" s="441">
        <f t="shared" si="11"/>
        <v>2027</v>
      </c>
      <c r="C13" s="421">
        <v>30640</v>
      </c>
      <c r="D13" s="30">
        <f t="shared" si="6"/>
        <v>11183600</v>
      </c>
      <c r="E13" s="423">
        <v>-0.7</v>
      </c>
      <c r="F13" s="426">
        <f t="shared" si="0"/>
        <v>-7828519.9999999991</v>
      </c>
      <c r="G13" s="442">
        <f t="shared" si="12"/>
        <v>-700433.34143999987</v>
      </c>
      <c r="H13" s="442">
        <f t="shared" si="13"/>
        <v>-126258.37055999995</v>
      </c>
      <c r="I13" s="442">
        <f t="shared" si="14"/>
        <v>-57179.510079999985</v>
      </c>
      <c r="J13" s="442">
        <f t="shared" si="7"/>
        <v>-883871.22207999986</v>
      </c>
      <c r="K13" s="442">
        <f t="shared" si="4"/>
        <v>-480767.38178839895</v>
      </c>
      <c r="M13" s="425">
        <f t="shared" si="8"/>
        <v>-380989.32884017954</v>
      </c>
      <c r="N13" s="425">
        <f t="shared" si="9"/>
        <v>-68676.188031276979</v>
      </c>
      <c r="O13" s="425">
        <f t="shared" si="10"/>
        <v>-31101.86491694241</v>
      </c>
      <c r="IC13" s="8"/>
      <c r="ID13" s="8"/>
      <c r="IE13" s="8"/>
      <c r="IF13" s="8"/>
    </row>
    <row r="14" spans="1:240" ht="17.100000000000001" customHeight="1" x14ac:dyDescent="0.3">
      <c r="A14" s="440">
        <v>10</v>
      </c>
      <c r="B14" s="441">
        <f t="shared" si="11"/>
        <v>2028</v>
      </c>
      <c r="C14" s="421">
        <v>30790</v>
      </c>
      <c r="D14" s="30">
        <f t="shared" ref="D14:D33" si="15">C14*365</f>
        <v>11238350</v>
      </c>
      <c r="E14" s="423">
        <v>-0.7</v>
      </c>
      <c r="F14" s="426">
        <f t="shared" si="0"/>
        <v>-7866844.9999999991</v>
      </c>
      <c r="G14" s="442">
        <f t="shared" si="12"/>
        <v>-703862.35583999997</v>
      </c>
      <c r="H14" s="442">
        <f t="shared" si="13"/>
        <v>-126876.47615999999</v>
      </c>
      <c r="I14" s="442">
        <f t="shared" si="14"/>
        <v>-57459.435879999997</v>
      </c>
      <c r="J14" s="442">
        <f t="shared" si="7"/>
        <v>-888198.26787999994</v>
      </c>
      <c r="K14" s="442">
        <f t="shared" si="4"/>
        <v>-451514.96075208043</v>
      </c>
      <c r="M14" s="425">
        <f t="shared" si="8"/>
        <v>-357807.93035153882</v>
      </c>
      <c r="N14" s="425">
        <f t="shared" si="9"/>
        <v>-64497.566844483394</v>
      </c>
      <c r="O14" s="425">
        <f t="shared" si="10"/>
        <v>-29209.463556058203</v>
      </c>
      <c r="IC14" s="8"/>
      <c r="ID14" s="8"/>
      <c r="IE14" s="8"/>
      <c r="IF14" s="8"/>
    </row>
    <row r="15" spans="1:240" ht="17.100000000000001" customHeight="1" x14ac:dyDescent="0.3">
      <c r="A15" s="440">
        <v>11</v>
      </c>
      <c r="B15" s="441">
        <f t="shared" si="11"/>
        <v>2029</v>
      </c>
      <c r="C15" s="421">
        <v>30930</v>
      </c>
      <c r="D15" s="30">
        <f t="shared" si="15"/>
        <v>11289450</v>
      </c>
      <c r="E15" s="423">
        <v>-0.7</v>
      </c>
      <c r="F15" s="426">
        <f t="shared" si="0"/>
        <v>-7902614.9999999991</v>
      </c>
      <c r="G15" s="442">
        <f t="shared" si="12"/>
        <v>-707062.76928000001</v>
      </c>
      <c r="H15" s="442">
        <f t="shared" si="13"/>
        <v>-127453.37471999998</v>
      </c>
      <c r="I15" s="442">
        <f t="shared" si="14"/>
        <v>-57720.699959999991</v>
      </c>
      <c r="J15" s="442">
        <f t="shared" si="7"/>
        <v>-892236.84395999997</v>
      </c>
      <c r="K15" s="442">
        <f t="shared" si="4"/>
        <v>-423895.29723699117</v>
      </c>
      <c r="M15" s="425">
        <f t="shared" si="8"/>
        <v>-335920.42827878619</v>
      </c>
      <c r="N15" s="425">
        <f t="shared" si="9"/>
        <v>-60552.180204759738</v>
      </c>
      <c r="O15" s="425">
        <f t="shared" si="10"/>
        <v>-27422.688753445258</v>
      </c>
      <c r="IC15" s="8"/>
      <c r="ID15" s="8"/>
      <c r="IE15" s="8"/>
      <c r="IF15" s="8"/>
    </row>
    <row r="16" spans="1:240" ht="17.100000000000001" customHeight="1" x14ac:dyDescent="0.3">
      <c r="A16" s="440">
        <v>12</v>
      </c>
      <c r="B16" s="441">
        <f t="shared" si="11"/>
        <v>2030</v>
      </c>
      <c r="C16" s="421">
        <v>31080</v>
      </c>
      <c r="D16" s="30">
        <f t="shared" si="15"/>
        <v>11344200</v>
      </c>
      <c r="E16" s="423">
        <v>-0.7</v>
      </c>
      <c r="F16" s="426">
        <f t="shared" si="0"/>
        <v>-7940939.9999999991</v>
      </c>
      <c r="G16" s="442">
        <f t="shared" si="12"/>
        <v>-710491.78367999988</v>
      </c>
      <c r="H16" s="442">
        <f t="shared" si="13"/>
        <v>-128071.48031999999</v>
      </c>
      <c r="I16" s="442">
        <f t="shared" si="14"/>
        <v>-58000.625759999988</v>
      </c>
      <c r="J16" s="442">
        <f t="shared" si="7"/>
        <v>-896563.88975999982</v>
      </c>
      <c r="K16" s="442">
        <f t="shared" si="4"/>
        <v>-398085.08927683212</v>
      </c>
      <c r="M16" s="425">
        <f t="shared" si="8"/>
        <v>-315466.84889620141</v>
      </c>
      <c r="N16" s="425">
        <f t="shared" si="9"/>
        <v>-56865.268899744464</v>
      </c>
      <c r="O16" s="425">
        <f t="shared" si="10"/>
        <v>-25752.971480886255</v>
      </c>
      <c r="IC16" s="8"/>
      <c r="ID16" s="8"/>
      <c r="IE16" s="8"/>
      <c r="IF16" s="8"/>
    </row>
    <row r="17" spans="1:240" ht="17.100000000000001" customHeight="1" x14ac:dyDescent="0.3">
      <c r="A17" s="440">
        <v>13</v>
      </c>
      <c r="B17" s="441">
        <f t="shared" si="11"/>
        <v>2031</v>
      </c>
      <c r="C17" s="421">
        <v>31220</v>
      </c>
      <c r="D17" s="30">
        <f t="shared" si="15"/>
        <v>11395300</v>
      </c>
      <c r="E17" s="423">
        <v>-0.7</v>
      </c>
      <c r="F17" s="426">
        <f t="shared" si="0"/>
        <v>-7976709.9999999991</v>
      </c>
      <c r="G17" s="442">
        <f t="shared" si="12"/>
        <v>-713692.19711999991</v>
      </c>
      <c r="H17" s="442">
        <f t="shared" si="13"/>
        <v>-128648.37887999997</v>
      </c>
      <c r="I17" s="442">
        <f t="shared" si="14"/>
        <v>-58261.889839999996</v>
      </c>
      <c r="J17" s="442">
        <f t="shared" si="7"/>
        <v>-900602.46583999984</v>
      </c>
      <c r="K17" s="442">
        <f t="shared" si="4"/>
        <v>-373718.00500435109</v>
      </c>
      <c r="M17" s="425">
        <f t="shared" si="8"/>
        <v>-296156.88854025811</v>
      </c>
      <c r="N17" s="425">
        <f t="shared" si="9"/>
        <v>-53384.503513694595</v>
      </c>
      <c r="O17" s="425">
        <f t="shared" si="10"/>
        <v>-24176.612950398398</v>
      </c>
      <c r="IC17" s="8"/>
      <c r="ID17" s="8"/>
      <c r="IE17" s="8"/>
      <c r="IF17" s="8"/>
    </row>
    <row r="18" spans="1:240" ht="17.100000000000001" customHeight="1" x14ac:dyDescent="0.3">
      <c r="A18" s="440">
        <v>14</v>
      </c>
      <c r="B18" s="441">
        <f t="shared" si="11"/>
        <v>2032</v>
      </c>
      <c r="C18" s="421">
        <v>31370</v>
      </c>
      <c r="D18" s="30">
        <f t="shared" si="15"/>
        <v>11450050</v>
      </c>
      <c r="E18" s="423">
        <v>-0.7</v>
      </c>
      <c r="F18" s="426">
        <f t="shared" si="0"/>
        <v>-8015034.9999999991</v>
      </c>
      <c r="G18" s="442">
        <f t="shared" si="12"/>
        <v>-717121.21152000001</v>
      </c>
      <c r="H18" s="442">
        <f t="shared" si="13"/>
        <v>-129266.48448000001</v>
      </c>
      <c r="I18" s="442">
        <f t="shared" si="14"/>
        <v>-58541.815639999993</v>
      </c>
      <c r="J18" s="442">
        <f t="shared" si="7"/>
        <v>-904929.51164000004</v>
      </c>
      <c r="K18" s="442">
        <f t="shared" si="4"/>
        <v>-350947.26651938003</v>
      </c>
      <c r="M18" s="425">
        <f t="shared" si="8"/>
        <v>-278111.96972668788</v>
      </c>
      <c r="N18" s="425">
        <f t="shared" si="9"/>
        <v>-50131.771367042456</v>
      </c>
      <c r="O18" s="425">
        <f t="shared" si="10"/>
        <v>-22703.525425649677</v>
      </c>
      <c r="IC18" s="8"/>
      <c r="ID18" s="8"/>
      <c r="IE18" s="8"/>
      <c r="IF18" s="8"/>
    </row>
    <row r="19" spans="1:240" ht="17.100000000000001" customHeight="1" x14ac:dyDescent="0.3">
      <c r="A19" s="440">
        <v>15</v>
      </c>
      <c r="B19" s="441">
        <f t="shared" si="11"/>
        <v>2033</v>
      </c>
      <c r="C19" s="421">
        <v>31510</v>
      </c>
      <c r="D19" s="30">
        <f t="shared" si="15"/>
        <v>11501150</v>
      </c>
      <c r="E19" s="423">
        <v>-0.7</v>
      </c>
      <c r="F19" s="426">
        <f t="shared" si="0"/>
        <v>-8050804.9999999991</v>
      </c>
      <c r="G19" s="442">
        <f t="shared" si="12"/>
        <v>-720321.62495999981</v>
      </c>
      <c r="H19" s="442">
        <f t="shared" si="13"/>
        <v>-129843.38303999997</v>
      </c>
      <c r="I19" s="442">
        <f t="shared" si="14"/>
        <v>-58803.079719999994</v>
      </c>
      <c r="J19" s="442">
        <f t="shared" si="7"/>
        <v>-908968.08771999984</v>
      </c>
      <c r="K19" s="442">
        <f t="shared" si="4"/>
        <v>-329451.86537604115</v>
      </c>
      <c r="M19" s="425">
        <f t="shared" si="8"/>
        <v>-261077.70582906852</v>
      </c>
      <c r="N19" s="425">
        <f t="shared" si="9"/>
        <v>-47061.217359746261</v>
      </c>
      <c r="O19" s="425">
        <f t="shared" si="10"/>
        <v>-21312.942187226359</v>
      </c>
      <c r="IC19" s="8"/>
      <c r="ID19" s="8"/>
      <c r="IE19" s="8"/>
      <c r="IF19" s="8"/>
    </row>
    <row r="20" spans="1:240" ht="17.100000000000001" customHeight="1" x14ac:dyDescent="0.3">
      <c r="A20" s="440">
        <v>16</v>
      </c>
      <c r="B20" s="441">
        <f t="shared" si="11"/>
        <v>2034</v>
      </c>
      <c r="C20" s="421">
        <v>31660</v>
      </c>
      <c r="D20" s="30">
        <f t="shared" si="15"/>
        <v>11555900</v>
      </c>
      <c r="E20" s="423">
        <v>-0.7</v>
      </c>
      <c r="F20" s="426">
        <f t="shared" si="0"/>
        <v>-8089129.9999999991</v>
      </c>
      <c r="G20" s="442">
        <f t="shared" si="12"/>
        <v>-723750.63935999991</v>
      </c>
      <c r="H20" s="442">
        <f t="shared" si="13"/>
        <v>-130461.48863999998</v>
      </c>
      <c r="I20" s="442">
        <f t="shared" si="14"/>
        <v>-59083.005519999992</v>
      </c>
      <c r="J20" s="442">
        <f t="shared" si="7"/>
        <v>-913295.13351999992</v>
      </c>
      <c r="K20" s="442">
        <f t="shared" si="4"/>
        <v>-309364.65972248733</v>
      </c>
      <c r="M20" s="425">
        <f t="shared" si="8"/>
        <v>-245159.38172864012</v>
      </c>
      <c r="N20" s="425">
        <f t="shared" si="9"/>
        <v>-44191.819882415817</v>
      </c>
      <c r="O20" s="425">
        <f t="shared" si="10"/>
        <v>-20013.45811143137</v>
      </c>
      <c r="IC20" s="8"/>
      <c r="ID20" s="8"/>
      <c r="IE20" s="8"/>
      <c r="IF20" s="8"/>
    </row>
    <row r="21" spans="1:240" ht="17.100000000000001" customHeight="1" x14ac:dyDescent="0.3">
      <c r="A21" s="440">
        <v>17</v>
      </c>
      <c r="B21" s="441">
        <f t="shared" si="11"/>
        <v>2035</v>
      </c>
      <c r="C21" s="421">
        <v>31800</v>
      </c>
      <c r="D21" s="30">
        <f t="shared" si="15"/>
        <v>11607000</v>
      </c>
      <c r="E21" s="423">
        <v>-0.7</v>
      </c>
      <c r="F21" s="426">
        <f t="shared" si="0"/>
        <v>-8124899.9999999991</v>
      </c>
      <c r="G21" s="442">
        <f t="shared" si="12"/>
        <v>-726951.05279999995</v>
      </c>
      <c r="H21" s="442">
        <f t="shared" si="13"/>
        <v>-131038.3872</v>
      </c>
      <c r="I21" s="442">
        <f t="shared" si="14"/>
        <v>-59344.269599999992</v>
      </c>
      <c r="J21" s="442">
        <f t="shared" si="7"/>
        <v>-917333.70959999994</v>
      </c>
      <c r="K21" s="442">
        <f t="shared" si="4"/>
        <v>-290404.35996880103</v>
      </c>
      <c r="M21" s="425">
        <f t="shared" si="8"/>
        <v>-230134.08643740314</v>
      </c>
      <c r="N21" s="425">
        <f t="shared" si="9"/>
        <v>-41483.397555240052</v>
      </c>
      <c r="O21" s="425">
        <f t="shared" si="10"/>
        <v>-18786.875976157819</v>
      </c>
      <c r="IC21" s="8"/>
      <c r="ID21" s="8"/>
      <c r="IE21" s="8"/>
      <c r="IF21" s="8"/>
    </row>
    <row r="22" spans="1:240" ht="17.100000000000001" customHeight="1" x14ac:dyDescent="0.3">
      <c r="A22" s="440">
        <v>18</v>
      </c>
      <c r="B22" s="441">
        <f t="shared" si="11"/>
        <v>2036</v>
      </c>
      <c r="C22" s="421">
        <v>31950</v>
      </c>
      <c r="D22" s="30">
        <f t="shared" si="15"/>
        <v>11661750</v>
      </c>
      <c r="E22" s="423">
        <v>-0.7</v>
      </c>
      <c r="F22" s="426">
        <f t="shared" si="0"/>
        <v>-8163224.9999999991</v>
      </c>
      <c r="G22" s="442">
        <f t="shared" si="12"/>
        <v>-730380.06719999993</v>
      </c>
      <c r="H22" s="442">
        <f t="shared" si="13"/>
        <v>-131656.49279999998</v>
      </c>
      <c r="I22" s="442">
        <f t="shared" si="14"/>
        <v>-59624.195399999997</v>
      </c>
      <c r="J22" s="442">
        <f t="shared" si="7"/>
        <v>-921660.75539999991</v>
      </c>
      <c r="K22" s="442">
        <f t="shared" si="4"/>
        <v>-272686.16061256663</v>
      </c>
      <c r="M22" s="425">
        <f t="shared" si="8"/>
        <v>-216093.10708502409</v>
      </c>
      <c r="N22" s="425">
        <f t="shared" si="9"/>
        <v>-38952.405568974296</v>
      </c>
      <c r="O22" s="425">
        <f t="shared" si="10"/>
        <v>-17640.647958568225</v>
      </c>
      <c r="IC22" s="8"/>
      <c r="ID22" s="8"/>
      <c r="IE22" s="8"/>
      <c r="IF22" s="8"/>
    </row>
    <row r="23" spans="1:240" ht="15.75" customHeight="1" x14ac:dyDescent="0.3">
      <c r="A23" s="440">
        <v>19</v>
      </c>
      <c r="B23" s="441">
        <f t="shared" si="11"/>
        <v>2037</v>
      </c>
      <c r="C23" s="421">
        <v>32090</v>
      </c>
      <c r="D23" s="30">
        <f t="shared" si="15"/>
        <v>11712850</v>
      </c>
      <c r="E23" s="423">
        <v>-0.7</v>
      </c>
      <c r="F23" s="426">
        <f t="shared" si="0"/>
        <v>-8198994.9999999991</v>
      </c>
      <c r="G23" s="442">
        <f t="shared" si="12"/>
        <v>-733580.48063999997</v>
      </c>
      <c r="H23" s="442">
        <f t="shared" si="13"/>
        <v>-132233.39136000001</v>
      </c>
      <c r="I23" s="442">
        <f t="shared" si="14"/>
        <v>-59885.45947999999</v>
      </c>
      <c r="J23" s="442">
        <f t="shared" si="7"/>
        <v>-925699.33147999994</v>
      </c>
      <c r="K23" s="442">
        <f t="shared" si="4"/>
        <v>-255963.5790167833</v>
      </c>
      <c r="M23" s="425">
        <f t="shared" si="8"/>
        <v>-202841.11583105681</v>
      </c>
      <c r="N23" s="425">
        <f t="shared" si="9"/>
        <v>-36563.634613323549</v>
      </c>
      <c r="O23" s="425">
        <f t="shared" si="10"/>
        <v>-16558.82857240297</v>
      </c>
      <c r="IC23" s="8"/>
      <c r="ID23" s="8"/>
      <c r="IE23" s="8"/>
      <c r="IF23" s="8"/>
    </row>
    <row r="24" spans="1:240" ht="15.75" customHeight="1" x14ac:dyDescent="0.3">
      <c r="A24" s="440">
        <v>20</v>
      </c>
      <c r="B24" s="441">
        <f t="shared" si="11"/>
        <v>2038</v>
      </c>
      <c r="C24" s="421">
        <v>32230</v>
      </c>
      <c r="D24" s="30">
        <f t="shared" si="15"/>
        <v>11763950</v>
      </c>
      <c r="E24" s="423">
        <v>-0.7</v>
      </c>
      <c r="F24" s="426">
        <f t="shared" si="0"/>
        <v>-8234764.9999999991</v>
      </c>
      <c r="G24" s="442">
        <f t="shared" si="12"/>
        <v>-736780.89408</v>
      </c>
      <c r="H24" s="442">
        <f t="shared" si="13"/>
        <v>-132810.28991999998</v>
      </c>
      <c r="I24" s="442">
        <f t="shared" si="14"/>
        <v>-60146.723559999999</v>
      </c>
      <c r="J24" s="442">
        <f t="shared" si="7"/>
        <v>-929737.90755999996</v>
      </c>
      <c r="K24" s="442">
        <f t="shared" si="4"/>
        <v>-240261.94294990803</v>
      </c>
      <c r="M24" s="425">
        <f t="shared" si="8"/>
        <v>-190398.18394046422</v>
      </c>
      <c r="N24" s="425">
        <f t="shared" si="9"/>
        <v>-34320.702684547192</v>
      </c>
      <c r="O24" s="425">
        <f t="shared" si="10"/>
        <v>-15543.056324896623</v>
      </c>
      <c r="IC24" s="8"/>
      <c r="ID24" s="8"/>
      <c r="IE24" s="8"/>
      <c r="IF24" s="8"/>
    </row>
    <row r="25" spans="1:240" ht="15.75" customHeight="1" x14ac:dyDescent="0.3">
      <c r="A25" s="440">
        <v>21</v>
      </c>
      <c r="B25" s="441">
        <f t="shared" si="11"/>
        <v>2039</v>
      </c>
      <c r="C25" s="421">
        <v>32380</v>
      </c>
      <c r="D25" s="30">
        <f t="shared" si="15"/>
        <v>11818700</v>
      </c>
      <c r="E25" s="423">
        <v>-0.7</v>
      </c>
      <c r="F25" s="426">
        <f t="shared" si="0"/>
        <v>-8273089.9999999991</v>
      </c>
      <c r="G25" s="442">
        <f t="shared" si="12"/>
        <v>-740209.9084800001</v>
      </c>
      <c r="H25" s="442">
        <f t="shared" si="13"/>
        <v>-133428.39552000002</v>
      </c>
      <c r="I25" s="442">
        <f t="shared" si="14"/>
        <v>-60426.649359999996</v>
      </c>
      <c r="J25" s="442">
        <f t="shared" si="7"/>
        <v>-934064.95336000016</v>
      </c>
      <c r="K25" s="442">
        <f t="shared" si="4"/>
        <v>-225588.91010343365</v>
      </c>
      <c r="M25" s="425">
        <f t="shared" si="8"/>
        <v>-178770.37983396882</v>
      </c>
      <c r="N25" s="425">
        <f t="shared" si="9"/>
        <v>-32224.703661058757</v>
      </c>
      <c r="O25" s="425">
        <f t="shared" si="10"/>
        <v>-14593.826608406071</v>
      </c>
      <c r="IC25" s="8"/>
      <c r="ID25" s="8"/>
      <c r="IE25" s="8"/>
      <c r="IF25" s="8"/>
    </row>
    <row r="26" spans="1:240" ht="15.75" customHeight="1" x14ac:dyDescent="0.3">
      <c r="A26" s="440">
        <v>22</v>
      </c>
      <c r="B26" s="441">
        <f t="shared" si="11"/>
        <v>2040</v>
      </c>
      <c r="C26" s="421">
        <v>32520</v>
      </c>
      <c r="D26" s="30">
        <f t="shared" si="15"/>
        <v>11869800</v>
      </c>
      <c r="E26" s="423">
        <v>-0.7</v>
      </c>
      <c r="F26" s="426">
        <f t="shared" si="0"/>
        <v>-8308859.9999999991</v>
      </c>
      <c r="G26" s="442">
        <f t="shared" si="12"/>
        <v>-743410.3219199999</v>
      </c>
      <c r="H26" s="442">
        <f t="shared" si="13"/>
        <v>-134005.29407999999</v>
      </c>
      <c r="I26" s="442">
        <f t="shared" si="14"/>
        <v>-60687.913439999989</v>
      </c>
      <c r="J26" s="442">
        <f t="shared" si="7"/>
        <v>-938103.52943999995</v>
      </c>
      <c r="K26" s="442">
        <f t="shared" si="4"/>
        <v>-211742.31689584724</v>
      </c>
      <c r="M26" s="425">
        <f t="shared" si="8"/>
        <v>-167797.49678758276</v>
      </c>
      <c r="N26" s="425">
        <f t="shared" si="9"/>
        <v>-30246.759077590024</v>
      </c>
      <c r="O26" s="425">
        <f t="shared" si="10"/>
        <v>-13698.061030674449</v>
      </c>
      <c r="IC26" s="8"/>
      <c r="ID26" s="8"/>
      <c r="IE26" s="8"/>
      <c r="IF26" s="8"/>
    </row>
    <row r="27" spans="1:240" ht="15.75" customHeight="1" x14ac:dyDescent="0.3">
      <c r="A27" s="440">
        <v>23</v>
      </c>
      <c r="B27" s="441">
        <f t="shared" si="11"/>
        <v>2041</v>
      </c>
      <c r="C27" s="421">
        <v>32670</v>
      </c>
      <c r="D27" s="30">
        <f t="shared" si="15"/>
        <v>11924550</v>
      </c>
      <c r="E27" s="423">
        <v>-0.7</v>
      </c>
      <c r="F27" s="426">
        <f t="shared" si="0"/>
        <v>-8347184.9999999991</v>
      </c>
      <c r="G27" s="442">
        <f t="shared" si="12"/>
        <v>-746839.33631999989</v>
      </c>
      <c r="H27" s="442">
        <f t="shared" si="13"/>
        <v>-134623.39967999997</v>
      </c>
      <c r="I27" s="442">
        <f t="shared" si="14"/>
        <v>-60967.839239999994</v>
      </c>
      <c r="J27" s="442">
        <f t="shared" si="7"/>
        <v>-942430.5752399998</v>
      </c>
      <c r="K27" s="442">
        <f t="shared" si="4"/>
        <v>-198802.79261611338</v>
      </c>
      <c r="M27" s="425">
        <f t="shared" si="8"/>
        <v>-157543.43035631065</v>
      </c>
      <c r="N27" s="425">
        <f t="shared" si="9"/>
        <v>-28398.386587832822</v>
      </c>
      <c r="O27" s="425">
        <f t="shared" si="10"/>
        <v>-12860.975671969923</v>
      </c>
      <c r="IC27" s="8"/>
      <c r="ID27" s="8"/>
      <c r="IE27" s="8"/>
      <c r="IF27" s="8"/>
    </row>
    <row r="28" spans="1:240" ht="15.75" customHeight="1" x14ac:dyDescent="0.3">
      <c r="A28" s="440">
        <v>24</v>
      </c>
      <c r="B28" s="441">
        <f t="shared" si="11"/>
        <v>2042</v>
      </c>
      <c r="C28" s="421">
        <v>32810</v>
      </c>
      <c r="D28" s="30">
        <f t="shared" si="15"/>
        <v>11975650</v>
      </c>
      <c r="E28" s="423">
        <v>-0.7</v>
      </c>
      <c r="F28" s="426">
        <f t="shared" si="0"/>
        <v>-8382954.9999999991</v>
      </c>
      <c r="G28" s="442">
        <f t="shared" si="12"/>
        <v>-750039.74976000004</v>
      </c>
      <c r="H28" s="442">
        <f t="shared" si="13"/>
        <v>-135200.29824</v>
      </c>
      <c r="I28" s="442">
        <f t="shared" si="14"/>
        <v>-61229.103319999987</v>
      </c>
      <c r="J28" s="442">
        <f t="shared" si="7"/>
        <v>-946469.15132000006</v>
      </c>
      <c r="K28" s="442">
        <f t="shared" si="4"/>
        <v>-186593.19406854387</v>
      </c>
      <c r="M28" s="425">
        <f t="shared" si="8"/>
        <v>-147867.80149242506</v>
      </c>
      <c r="N28" s="425">
        <f t="shared" si="9"/>
        <v>-26654.281814085203</v>
      </c>
      <c r="O28" s="425">
        <f t="shared" si="10"/>
        <v>-12071.110762033622</v>
      </c>
      <c r="IC28" s="8"/>
      <c r="ID28" s="8"/>
      <c r="IE28" s="8"/>
      <c r="IF28" s="8"/>
    </row>
    <row r="29" spans="1:240" ht="15.75" customHeight="1" x14ac:dyDescent="0.3">
      <c r="A29" s="440">
        <v>25</v>
      </c>
      <c r="B29" s="441">
        <f t="shared" si="11"/>
        <v>2043</v>
      </c>
      <c r="C29" s="421">
        <v>32960</v>
      </c>
      <c r="D29" s="30">
        <f t="shared" si="15"/>
        <v>12030400</v>
      </c>
      <c r="E29" s="423">
        <v>-0.7</v>
      </c>
      <c r="F29" s="426">
        <f t="shared" si="0"/>
        <v>-8421280</v>
      </c>
      <c r="G29" s="442">
        <f t="shared" si="12"/>
        <v>-753468.76416000002</v>
      </c>
      <c r="H29" s="442">
        <f t="shared" si="13"/>
        <v>-135818.40384000001</v>
      </c>
      <c r="I29" s="442">
        <f t="shared" si="14"/>
        <v>-61509.029119999999</v>
      </c>
      <c r="J29" s="442">
        <f t="shared" si="7"/>
        <v>-950796.19712000003</v>
      </c>
      <c r="K29" s="442">
        <f t="shared" si="4"/>
        <v>-175183.41731063317</v>
      </c>
      <c r="M29" s="425">
        <f t="shared" si="8"/>
        <v>-138826.0000851783</v>
      </c>
      <c r="N29" s="425">
        <f t="shared" si="9"/>
        <v>-25024.429199903389</v>
      </c>
      <c r="O29" s="425">
        <f t="shared" si="10"/>
        <v>-11332.988025551484</v>
      </c>
      <c r="IC29" s="8"/>
      <c r="ID29" s="8"/>
      <c r="IE29" s="8"/>
      <c r="IF29" s="8"/>
    </row>
    <row r="30" spans="1:240" ht="15.75" customHeight="1" x14ac:dyDescent="0.3">
      <c r="A30" s="440">
        <v>26</v>
      </c>
      <c r="B30" s="441">
        <f t="shared" si="11"/>
        <v>2044</v>
      </c>
      <c r="C30" s="421">
        <v>33100</v>
      </c>
      <c r="D30" s="30">
        <f t="shared" si="15"/>
        <v>12081500</v>
      </c>
      <c r="E30" s="423">
        <v>-0.7</v>
      </c>
      <c r="F30" s="426">
        <f t="shared" si="0"/>
        <v>-8457050</v>
      </c>
      <c r="G30" s="442">
        <f t="shared" si="12"/>
        <v>-756669.17760000005</v>
      </c>
      <c r="H30" s="442">
        <f t="shared" si="13"/>
        <v>-136395.30239999999</v>
      </c>
      <c r="I30" s="442">
        <f t="shared" si="14"/>
        <v>-61770.293200000007</v>
      </c>
      <c r="J30" s="442">
        <f t="shared" si="7"/>
        <v>-954834.77319999994</v>
      </c>
      <c r="K30" s="442">
        <f t="shared" si="4"/>
        <v>-164418.24451563941</v>
      </c>
      <c r="M30" s="425">
        <f t="shared" si="8"/>
        <v>-130295.022083392</v>
      </c>
      <c r="N30" s="425">
        <f t="shared" si="9"/>
        <v>-23486.656341212289</v>
      </c>
      <c r="O30" s="425">
        <f t="shared" si="10"/>
        <v>-10636.566091035131</v>
      </c>
      <c r="IC30" s="8"/>
      <c r="ID30" s="8"/>
      <c r="IE30" s="8"/>
      <c r="IF30" s="8"/>
    </row>
    <row r="31" spans="1:240" ht="15.75" customHeight="1" x14ac:dyDescent="0.3">
      <c r="A31" s="440">
        <v>27</v>
      </c>
      <c r="B31" s="441">
        <f t="shared" si="11"/>
        <v>2045</v>
      </c>
      <c r="C31" s="421">
        <v>33250</v>
      </c>
      <c r="D31" s="30">
        <f t="shared" si="15"/>
        <v>12136250</v>
      </c>
      <c r="E31" s="423">
        <v>-0.7</v>
      </c>
      <c r="F31" s="426">
        <f t="shared" si="0"/>
        <v>-8495375</v>
      </c>
      <c r="G31" s="442">
        <f t="shared" si="12"/>
        <v>-760098.19200000004</v>
      </c>
      <c r="H31" s="442">
        <f t="shared" si="13"/>
        <v>-137013.408</v>
      </c>
      <c r="I31" s="442">
        <f t="shared" si="14"/>
        <v>-62050.218999999997</v>
      </c>
      <c r="J31" s="442">
        <f t="shared" si="7"/>
        <v>-959161.81900000013</v>
      </c>
      <c r="K31" s="442">
        <f t="shared" si="4"/>
        <v>-154358.26383219953</v>
      </c>
      <c r="M31" s="425">
        <f t="shared" si="8"/>
        <v>-122322.88122293766</v>
      </c>
      <c r="N31" s="425">
        <f t="shared" si="9"/>
        <v>-22049.618074520949</v>
      </c>
      <c r="O31" s="425">
        <f t="shared" si="10"/>
        <v>-9985.764534740887</v>
      </c>
      <c r="IC31" s="8"/>
      <c r="ID31" s="8"/>
      <c r="IE31" s="8"/>
      <c r="IF31" s="8"/>
    </row>
    <row r="32" spans="1:240" ht="15.75" customHeight="1" x14ac:dyDescent="0.3">
      <c r="A32" s="440">
        <v>28</v>
      </c>
      <c r="B32" s="441">
        <f t="shared" si="11"/>
        <v>2046</v>
      </c>
      <c r="C32" s="421">
        <v>33390</v>
      </c>
      <c r="D32" s="30">
        <f t="shared" si="15"/>
        <v>12187350</v>
      </c>
      <c r="E32" s="423">
        <v>-0.7</v>
      </c>
      <c r="F32" s="426">
        <f t="shared" si="0"/>
        <v>-8531145</v>
      </c>
      <c r="G32" s="442">
        <f t="shared" si="12"/>
        <v>-763298.60543999996</v>
      </c>
      <c r="H32" s="442">
        <f t="shared" si="13"/>
        <v>-137590.30656</v>
      </c>
      <c r="I32" s="442">
        <f t="shared" si="14"/>
        <v>-62311.483079999998</v>
      </c>
      <c r="J32" s="442">
        <f t="shared" si="7"/>
        <v>-963200.39508000005</v>
      </c>
      <c r="K32" s="442">
        <f t="shared" si="4"/>
        <v>-144867.47043376131</v>
      </c>
      <c r="M32" s="425">
        <f t="shared" si="8"/>
        <v>-114801.79900313089</v>
      </c>
      <c r="N32" s="425">
        <f t="shared" si="9"/>
        <v>-20693.886515585826</v>
      </c>
      <c r="O32" s="425">
        <f t="shared" si="10"/>
        <v>-9371.7849150445727</v>
      </c>
      <c r="IC32" s="8"/>
      <c r="ID32" s="8"/>
      <c r="IE32" s="8"/>
      <c r="IF32" s="8"/>
    </row>
    <row r="33" spans="1:240" ht="15.75" customHeight="1" x14ac:dyDescent="0.3">
      <c r="A33" s="443">
        <v>29</v>
      </c>
      <c r="B33" s="441">
        <f t="shared" si="11"/>
        <v>2047</v>
      </c>
      <c r="C33" s="421">
        <v>33540</v>
      </c>
      <c r="D33" s="30">
        <f t="shared" si="15"/>
        <v>12242100</v>
      </c>
      <c r="E33" s="423">
        <v>-0.7</v>
      </c>
      <c r="F33" s="444">
        <f t="shared" si="0"/>
        <v>-8569470</v>
      </c>
      <c r="G33" s="442">
        <f t="shared" si="12"/>
        <v>-766727.61984000006</v>
      </c>
      <c r="H33" s="442">
        <f t="shared" si="13"/>
        <v>-138208.41216000001</v>
      </c>
      <c r="I33" s="442">
        <f t="shared" si="14"/>
        <v>-62591.408880000003</v>
      </c>
      <c r="J33" s="442">
        <f t="shared" si="7"/>
        <v>-967527.44088000013</v>
      </c>
      <c r="K33" s="442">
        <f t="shared" si="4"/>
        <v>-135998.38102370888</v>
      </c>
      <c r="M33" s="425">
        <f t="shared" si="8"/>
        <v>-107773.39285546375</v>
      </c>
      <c r="N33" s="425">
        <f t="shared" si="9"/>
        <v>-19426.963519010635</v>
      </c>
      <c r="O33" s="425">
        <f t="shared" si="10"/>
        <v>-8798.0246492344777</v>
      </c>
      <c r="IC33" s="8"/>
      <c r="ID33" s="8"/>
      <c r="IE33" s="8"/>
      <c r="IF33" s="8"/>
    </row>
    <row r="34" spans="1:240" ht="15.75" customHeight="1" x14ac:dyDescent="0.3">
      <c r="A34" s="440">
        <f>1+A33</f>
        <v>30</v>
      </c>
      <c r="B34" s="441">
        <f t="shared" si="11"/>
        <v>2048</v>
      </c>
      <c r="C34" s="421">
        <v>33680</v>
      </c>
      <c r="D34" s="30">
        <f t="shared" ref="D34:D35" si="16">C34*365</f>
        <v>12293200</v>
      </c>
      <c r="E34" s="423">
        <v>-0.7</v>
      </c>
      <c r="F34" s="426">
        <f t="shared" si="0"/>
        <v>-8605240</v>
      </c>
      <c r="G34" s="442">
        <f t="shared" si="12"/>
        <v>-769928.03328000009</v>
      </c>
      <c r="H34" s="442">
        <f t="shared" si="13"/>
        <v>-138785.31072000001</v>
      </c>
      <c r="I34" s="442">
        <f t="shared" si="14"/>
        <v>-62852.672959999996</v>
      </c>
      <c r="J34" s="442">
        <f t="shared" si="7"/>
        <v>-971566.01696000004</v>
      </c>
      <c r="K34" s="442">
        <f t="shared" si="4"/>
        <v>-127631.82677340251</v>
      </c>
      <c r="M34" s="425">
        <f t="shared" si="8"/>
        <v>-101143.22614849669</v>
      </c>
      <c r="N34" s="425">
        <f t="shared" si="9"/>
        <v>-18231.826172690391</v>
      </c>
      <c r="O34" s="425">
        <f t="shared" si="10"/>
        <v>-8256.7744522154389</v>
      </c>
      <c r="IC34" s="8"/>
      <c r="ID34" s="8"/>
      <c r="IE34" s="8"/>
      <c r="IF34" s="8"/>
    </row>
    <row r="35" spans="1:240" ht="15.75" customHeight="1" x14ac:dyDescent="0.3">
      <c r="A35" s="443">
        <f>1+A34</f>
        <v>31</v>
      </c>
      <c r="B35" s="441">
        <f t="shared" si="11"/>
        <v>2049</v>
      </c>
      <c r="C35" s="421">
        <v>33680</v>
      </c>
      <c r="D35" s="30">
        <f t="shared" si="16"/>
        <v>12293200</v>
      </c>
      <c r="E35" s="423">
        <v>-0.7</v>
      </c>
      <c r="F35" s="444">
        <f t="shared" si="0"/>
        <v>-8605240</v>
      </c>
      <c r="G35" s="442">
        <f t="shared" si="12"/>
        <v>-769928.03328000009</v>
      </c>
      <c r="H35" s="442">
        <f t="shared" si="13"/>
        <v>-138785.31072000001</v>
      </c>
      <c r="I35" s="442">
        <f t="shared" si="14"/>
        <v>-62852.672959999996</v>
      </c>
      <c r="J35" s="442">
        <f t="shared" si="7"/>
        <v>-971566.01696000004</v>
      </c>
      <c r="K35" s="442">
        <f t="shared" si="4"/>
        <v>-119282.08109663783</v>
      </c>
      <c r="M35" s="425">
        <f t="shared" si="8"/>
        <v>-94526.379578034277</v>
      </c>
      <c r="N35" s="425">
        <f t="shared" si="9"/>
        <v>-17039.089881019052</v>
      </c>
      <c r="O35" s="425">
        <f t="shared" si="10"/>
        <v>-7716.6116375845204</v>
      </c>
      <c r="IC35" s="8"/>
      <c r="ID35" s="8"/>
      <c r="IE35" s="8"/>
      <c r="IF35" s="8"/>
    </row>
    <row r="36" spans="1:240" ht="18" customHeight="1" x14ac:dyDescent="0.3">
      <c r="A36" s="576" t="s">
        <v>11</v>
      </c>
      <c r="B36" s="577"/>
      <c r="C36" s="577"/>
      <c r="D36" s="577"/>
      <c r="E36" s="577"/>
      <c r="F36" s="577"/>
      <c r="G36" s="577"/>
      <c r="H36" s="577"/>
      <c r="I36" s="577"/>
      <c r="J36" s="578"/>
      <c r="K36" s="445">
        <f>SUM(K4:K33)</f>
        <v>-6831905.056033113</v>
      </c>
      <c r="M36" s="432">
        <f>SUM(M4:M33)</f>
        <v>-5414017.2994171558</v>
      </c>
      <c r="N36" s="432">
        <f>SUM(N4:N33)</f>
        <v>-975917.28144000284</v>
      </c>
      <c r="O36" s="432">
        <f>SUM(O4:O33)</f>
        <v>-441970.4751759537</v>
      </c>
      <c r="IC36" s="8"/>
      <c r="ID36" s="8"/>
      <c r="IE36" s="8"/>
      <c r="IF36" s="8"/>
    </row>
    <row r="37" spans="1:240" ht="15" customHeight="1" x14ac:dyDescent="0.25">
      <c r="IC37" s="8"/>
      <c r="ID37" s="8"/>
      <c r="IE37" s="8"/>
      <c r="IF37" s="8"/>
    </row>
    <row r="38" spans="1:240" ht="15" customHeight="1" x14ac:dyDescent="0.25">
      <c r="A38" s="573" t="s">
        <v>175</v>
      </c>
      <c r="B38" s="574"/>
      <c r="C38" s="574"/>
      <c r="D38" s="574"/>
      <c r="E38" s="574"/>
      <c r="F38" s="574"/>
      <c r="G38" s="574"/>
      <c r="H38" s="574"/>
      <c r="I38" s="574"/>
      <c r="J38" s="574"/>
      <c r="K38" s="575"/>
      <c r="M38" s="191"/>
      <c r="N38" s="191"/>
      <c r="O38" s="191"/>
    </row>
    <row r="39" spans="1:240" ht="15" customHeight="1" x14ac:dyDescent="0.3">
      <c r="A39" s="438" t="s">
        <v>145</v>
      </c>
      <c r="B39" s="438" t="s">
        <v>146</v>
      </c>
      <c r="C39" s="438" t="s">
        <v>147</v>
      </c>
      <c r="D39" s="438" t="s">
        <v>148</v>
      </c>
      <c r="E39" s="438" t="s">
        <v>149</v>
      </c>
      <c r="F39" s="438" t="s">
        <v>150</v>
      </c>
      <c r="G39" s="438" t="s">
        <v>155</v>
      </c>
      <c r="H39" s="438" t="s">
        <v>88</v>
      </c>
      <c r="I39" s="438" t="s">
        <v>156</v>
      </c>
      <c r="J39" s="438" t="s">
        <v>157</v>
      </c>
      <c r="K39" s="438" t="s">
        <v>158</v>
      </c>
      <c r="M39" s="415" t="s">
        <v>160</v>
      </c>
      <c r="N39" s="415" t="s">
        <v>160</v>
      </c>
      <c r="O39" s="415" t="s">
        <v>160</v>
      </c>
    </row>
    <row r="40" spans="1:240" ht="15" customHeight="1" x14ac:dyDescent="0.3">
      <c r="A40" s="446" t="s">
        <v>29</v>
      </c>
      <c r="B40" s="446" t="s">
        <v>30</v>
      </c>
      <c r="C40" s="446" t="s">
        <v>181</v>
      </c>
      <c r="D40" s="446" t="s">
        <v>182</v>
      </c>
      <c r="E40" s="446" t="s">
        <v>183</v>
      </c>
      <c r="F40" s="446" t="s">
        <v>184</v>
      </c>
      <c r="G40" s="446" t="s">
        <v>185</v>
      </c>
      <c r="H40" s="446" t="s">
        <v>186</v>
      </c>
      <c r="I40" s="446" t="s">
        <v>187</v>
      </c>
      <c r="J40" s="446" t="s">
        <v>188</v>
      </c>
      <c r="K40" s="447" t="s">
        <v>32</v>
      </c>
      <c r="M40" s="417" t="s">
        <v>189</v>
      </c>
      <c r="N40" s="417" t="s">
        <v>190</v>
      </c>
      <c r="O40" s="417" t="s">
        <v>191</v>
      </c>
    </row>
    <row r="41" spans="1:240" ht="15" customHeight="1" x14ac:dyDescent="0.3">
      <c r="A41" s="448">
        <v>0</v>
      </c>
      <c r="B41" s="441">
        <v>2018</v>
      </c>
      <c r="C41" s="421">
        <v>4060</v>
      </c>
      <c r="D41" s="30">
        <f>C41*365</f>
        <v>1481900</v>
      </c>
      <c r="E41" s="423">
        <v>0</v>
      </c>
      <c r="F41" s="426">
        <f t="shared" ref="F41:F72" si="17">D41*E41</f>
        <v>0</v>
      </c>
      <c r="G41" s="442">
        <f t="shared" ref="G41:G47" si="18">(F41)/100000000*9600000*0.932</f>
        <v>0</v>
      </c>
      <c r="H41" s="442">
        <f t="shared" ref="H41:H47" si="19">(F41)/100000000*9600000*0.003*56</f>
        <v>0</v>
      </c>
      <c r="I41" s="442">
        <f t="shared" ref="I41:I47" si="20">(F41)/100000000*166*4400</f>
        <v>0</v>
      </c>
      <c r="J41" s="442">
        <f>G41+H41+I41</f>
        <v>0</v>
      </c>
      <c r="K41" s="442">
        <f t="shared" ref="K41:K72" si="21">J41/(1+0.07)^A41</f>
        <v>0</v>
      </c>
      <c r="M41" s="425">
        <f>G41/(1+0.07)^$A41</f>
        <v>0</v>
      </c>
      <c r="N41" s="425">
        <f t="shared" ref="N41:N72" si="22">H41/(1+0.07)^$A41</f>
        <v>0</v>
      </c>
      <c r="O41" s="425">
        <f t="shared" ref="O41:O72" si="23">I41/(1+0.07)^$A41</f>
        <v>0</v>
      </c>
    </row>
    <row r="42" spans="1:240" ht="15" customHeight="1" x14ac:dyDescent="0.3">
      <c r="A42" s="440">
        <v>1</v>
      </c>
      <c r="B42" s="441">
        <f>1+B41</f>
        <v>2019</v>
      </c>
      <c r="C42" s="421">
        <v>4080</v>
      </c>
      <c r="D42" s="30">
        <f t="shared" ref="D42:D72" si="24">C42*365</f>
        <v>1489200</v>
      </c>
      <c r="E42" s="423">
        <v>0</v>
      </c>
      <c r="F42" s="426">
        <f t="shared" si="17"/>
        <v>0</v>
      </c>
      <c r="G42" s="442">
        <f t="shared" si="18"/>
        <v>0</v>
      </c>
      <c r="H42" s="442">
        <f t="shared" si="19"/>
        <v>0</v>
      </c>
      <c r="I42" s="442">
        <f t="shared" si="20"/>
        <v>0</v>
      </c>
      <c r="J42" s="442">
        <f t="shared" ref="J42:J72" si="25">G42+H42+I42</f>
        <v>0</v>
      </c>
      <c r="K42" s="442">
        <f t="shared" si="21"/>
        <v>0</v>
      </c>
      <c r="M42" s="425">
        <f t="shared" ref="M42:M72" si="26">G42/(1+0.07)^$A42</f>
        <v>0</v>
      </c>
      <c r="N42" s="425">
        <f t="shared" si="22"/>
        <v>0</v>
      </c>
      <c r="O42" s="425">
        <f t="shared" si="23"/>
        <v>0</v>
      </c>
    </row>
    <row r="43" spans="1:240" ht="15" customHeight="1" x14ac:dyDescent="0.3">
      <c r="A43" s="440">
        <v>2</v>
      </c>
      <c r="B43" s="441">
        <f t="shared" ref="B43:B72" si="27">1+B42</f>
        <v>2020</v>
      </c>
      <c r="C43" s="421">
        <v>4100</v>
      </c>
      <c r="D43" s="30">
        <f t="shared" si="24"/>
        <v>1496500</v>
      </c>
      <c r="E43" s="423">
        <v>0</v>
      </c>
      <c r="F43" s="426">
        <f t="shared" si="17"/>
        <v>0</v>
      </c>
      <c r="G43" s="442">
        <f t="shared" si="18"/>
        <v>0</v>
      </c>
      <c r="H43" s="442">
        <f t="shared" si="19"/>
        <v>0</v>
      </c>
      <c r="I43" s="442">
        <f t="shared" si="20"/>
        <v>0</v>
      </c>
      <c r="J43" s="442">
        <f t="shared" si="25"/>
        <v>0</v>
      </c>
      <c r="K43" s="442">
        <f t="shared" si="21"/>
        <v>0</v>
      </c>
      <c r="M43" s="425">
        <f t="shared" si="26"/>
        <v>0</v>
      </c>
      <c r="N43" s="425">
        <f t="shared" si="22"/>
        <v>0</v>
      </c>
      <c r="O43" s="425">
        <f t="shared" si="23"/>
        <v>0</v>
      </c>
    </row>
    <row r="44" spans="1:240" ht="15" customHeight="1" x14ac:dyDescent="0.3">
      <c r="A44" s="440">
        <v>3</v>
      </c>
      <c r="B44" s="441">
        <f t="shared" si="27"/>
        <v>2021</v>
      </c>
      <c r="C44" s="421">
        <v>4120</v>
      </c>
      <c r="D44" s="30">
        <f t="shared" si="24"/>
        <v>1503800</v>
      </c>
      <c r="E44" s="423">
        <v>0</v>
      </c>
      <c r="F44" s="426">
        <f t="shared" si="17"/>
        <v>0</v>
      </c>
      <c r="G44" s="442">
        <f t="shared" si="18"/>
        <v>0</v>
      </c>
      <c r="H44" s="442">
        <f t="shared" si="19"/>
        <v>0</v>
      </c>
      <c r="I44" s="442">
        <f t="shared" si="20"/>
        <v>0</v>
      </c>
      <c r="J44" s="442">
        <f t="shared" si="25"/>
        <v>0</v>
      </c>
      <c r="K44" s="442">
        <f t="shared" si="21"/>
        <v>0</v>
      </c>
      <c r="M44" s="425">
        <f t="shared" si="26"/>
        <v>0</v>
      </c>
      <c r="N44" s="425">
        <f t="shared" si="22"/>
        <v>0</v>
      </c>
      <c r="O44" s="425">
        <f t="shared" si="23"/>
        <v>0</v>
      </c>
    </row>
    <row r="45" spans="1:240" ht="15" customHeight="1" x14ac:dyDescent="0.3">
      <c r="A45" s="440">
        <v>4</v>
      </c>
      <c r="B45" s="441">
        <f t="shared" si="27"/>
        <v>2022</v>
      </c>
      <c r="C45" s="421">
        <v>4140</v>
      </c>
      <c r="D45" s="30">
        <f t="shared" si="24"/>
        <v>1511100</v>
      </c>
      <c r="E45" s="423">
        <v>0</v>
      </c>
      <c r="F45" s="426">
        <f t="shared" si="17"/>
        <v>0</v>
      </c>
      <c r="G45" s="442">
        <f t="shared" si="18"/>
        <v>0</v>
      </c>
      <c r="H45" s="442">
        <f t="shared" si="19"/>
        <v>0</v>
      </c>
      <c r="I45" s="442">
        <f t="shared" si="20"/>
        <v>0</v>
      </c>
      <c r="J45" s="442">
        <f t="shared" si="25"/>
        <v>0</v>
      </c>
      <c r="K45" s="442">
        <f t="shared" si="21"/>
        <v>0</v>
      </c>
      <c r="M45" s="425">
        <f t="shared" si="26"/>
        <v>0</v>
      </c>
      <c r="N45" s="425">
        <f t="shared" si="22"/>
        <v>0</v>
      </c>
      <c r="O45" s="425">
        <f t="shared" si="23"/>
        <v>0</v>
      </c>
    </row>
    <row r="46" spans="1:240" ht="15" customHeight="1" x14ac:dyDescent="0.3">
      <c r="A46" s="440">
        <v>5</v>
      </c>
      <c r="B46" s="441">
        <f t="shared" si="27"/>
        <v>2023</v>
      </c>
      <c r="C46" s="421">
        <v>4160</v>
      </c>
      <c r="D46" s="30">
        <f t="shared" si="24"/>
        <v>1518400</v>
      </c>
      <c r="E46" s="423">
        <v>0</v>
      </c>
      <c r="F46" s="426">
        <f t="shared" si="17"/>
        <v>0</v>
      </c>
      <c r="G46" s="442">
        <f t="shared" si="18"/>
        <v>0</v>
      </c>
      <c r="H46" s="442">
        <f t="shared" si="19"/>
        <v>0</v>
      </c>
      <c r="I46" s="442">
        <f t="shared" si="20"/>
        <v>0</v>
      </c>
      <c r="J46" s="442">
        <f t="shared" si="25"/>
        <v>0</v>
      </c>
      <c r="K46" s="442">
        <f t="shared" si="21"/>
        <v>0</v>
      </c>
      <c r="M46" s="425">
        <f t="shared" si="26"/>
        <v>0</v>
      </c>
      <c r="N46" s="425">
        <f t="shared" si="22"/>
        <v>0</v>
      </c>
      <c r="O46" s="425">
        <f t="shared" si="23"/>
        <v>0</v>
      </c>
    </row>
    <row r="47" spans="1:240" ht="15" customHeight="1" x14ac:dyDescent="0.3">
      <c r="A47" s="440">
        <v>6</v>
      </c>
      <c r="B47" s="441">
        <f t="shared" si="27"/>
        <v>2024</v>
      </c>
      <c r="C47" s="421">
        <v>4180</v>
      </c>
      <c r="D47" s="30">
        <f t="shared" si="24"/>
        <v>1525700</v>
      </c>
      <c r="E47" s="423">
        <v>0</v>
      </c>
      <c r="F47" s="426">
        <f t="shared" si="17"/>
        <v>0</v>
      </c>
      <c r="G47" s="442">
        <f t="shared" si="18"/>
        <v>0</v>
      </c>
      <c r="H47" s="442">
        <f t="shared" si="19"/>
        <v>0</v>
      </c>
      <c r="I47" s="442">
        <f t="shared" si="20"/>
        <v>0</v>
      </c>
      <c r="J47" s="442">
        <f t="shared" si="25"/>
        <v>0</v>
      </c>
      <c r="K47" s="442">
        <f t="shared" si="21"/>
        <v>0</v>
      </c>
      <c r="M47" s="425">
        <f t="shared" si="26"/>
        <v>0</v>
      </c>
      <c r="N47" s="425">
        <f t="shared" si="22"/>
        <v>0</v>
      </c>
      <c r="O47" s="425">
        <f t="shared" si="23"/>
        <v>0</v>
      </c>
    </row>
    <row r="48" spans="1:240" ht="15" customHeight="1" x14ac:dyDescent="0.3">
      <c r="A48" s="440">
        <v>7</v>
      </c>
      <c r="B48" s="441">
        <f t="shared" si="27"/>
        <v>2025</v>
      </c>
      <c r="C48" s="421">
        <v>4200</v>
      </c>
      <c r="D48" s="30">
        <f t="shared" si="24"/>
        <v>1533000</v>
      </c>
      <c r="E48" s="423">
        <v>1.6</v>
      </c>
      <c r="F48" s="426">
        <f t="shared" si="17"/>
        <v>2452800</v>
      </c>
      <c r="G48" s="442">
        <f>(F48)/100000000*9600000*0.932</f>
        <v>219456.92160000003</v>
      </c>
      <c r="H48" s="442">
        <f>(F48)/100000000*9600000*0.003*56</f>
        <v>39558.758400000006</v>
      </c>
      <c r="I48" s="442">
        <f>(F48)/100000000*166*4400</f>
        <v>17915.251200000002</v>
      </c>
      <c r="J48" s="442">
        <f t="shared" si="25"/>
        <v>276930.93120000005</v>
      </c>
      <c r="K48" s="442">
        <f t="shared" si="21"/>
        <v>172458.66592465949</v>
      </c>
      <c r="M48" s="425">
        <f t="shared" si="26"/>
        <v>136666.74128118696</v>
      </c>
      <c r="N48" s="425">
        <f t="shared" si="22"/>
        <v>24635.206582874904</v>
      </c>
      <c r="O48" s="425">
        <f t="shared" si="23"/>
        <v>11156.718060597612</v>
      </c>
    </row>
    <row r="49" spans="1:15" ht="15" customHeight="1" x14ac:dyDescent="0.3">
      <c r="A49" s="440">
        <v>8</v>
      </c>
      <c r="B49" s="441">
        <f t="shared" si="27"/>
        <v>2026</v>
      </c>
      <c r="C49" s="421">
        <v>4220</v>
      </c>
      <c r="D49" s="30">
        <f t="shared" si="24"/>
        <v>1540300</v>
      </c>
      <c r="E49" s="423">
        <v>1.6</v>
      </c>
      <c r="F49" s="426">
        <f t="shared" si="17"/>
        <v>2464480</v>
      </c>
      <c r="G49" s="442">
        <f t="shared" ref="G49:G72" si="28">(F49)/100000000*9600000*0.932</f>
        <v>220501.95456000001</v>
      </c>
      <c r="H49" s="442">
        <f t="shared" ref="H49:H72" si="29">(F49)/100000000*9600000*0.003*56</f>
        <v>39747.133440000005</v>
      </c>
      <c r="I49" s="442">
        <f t="shared" ref="I49:I72" si="30">(F49)/100000000*166*4400</f>
        <v>18000.56192</v>
      </c>
      <c r="J49" s="442">
        <f t="shared" si="25"/>
        <v>278249.64992</v>
      </c>
      <c r="K49" s="442">
        <f t="shared" si="21"/>
        <v>161943.82959547461</v>
      </c>
      <c r="M49" s="425">
        <f t="shared" si="26"/>
        <v>128334.14512830639</v>
      </c>
      <c r="N49" s="425">
        <f t="shared" si="22"/>
        <v>23133.193542441499</v>
      </c>
      <c r="O49" s="425">
        <f t="shared" si="23"/>
        <v>10476.49092472673</v>
      </c>
    </row>
    <row r="50" spans="1:15" ht="15" customHeight="1" x14ac:dyDescent="0.3">
      <c r="A50" s="440">
        <v>9</v>
      </c>
      <c r="B50" s="441">
        <f t="shared" si="27"/>
        <v>2027</v>
      </c>
      <c r="C50" s="421">
        <v>4240</v>
      </c>
      <c r="D50" s="30">
        <f t="shared" si="24"/>
        <v>1547600</v>
      </c>
      <c r="E50" s="423">
        <v>1.6</v>
      </c>
      <c r="F50" s="426">
        <f t="shared" si="17"/>
        <v>2476160</v>
      </c>
      <c r="G50" s="442">
        <f t="shared" si="28"/>
        <v>221546.98752000002</v>
      </c>
      <c r="H50" s="442">
        <f t="shared" si="29"/>
        <v>39935.508480000004</v>
      </c>
      <c r="I50" s="442">
        <f t="shared" si="30"/>
        <v>18085.872640000001</v>
      </c>
      <c r="J50" s="442">
        <f t="shared" si="25"/>
        <v>279568.36864000006</v>
      </c>
      <c r="K50" s="442">
        <f t="shared" si="21"/>
        <v>152066.66906249998</v>
      </c>
      <c r="M50" s="425">
        <f t="shared" si="26"/>
        <v>120506.88207999714</v>
      </c>
      <c r="N50" s="425">
        <f t="shared" si="22"/>
        <v>21722.270589527383</v>
      </c>
      <c r="O50" s="425">
        <f t="shared" si="23"/>
        <v>9837.5163929754453</v>
      </c>
    </row>
    <row r="51" spans="1:15" ht="15" customHeight="1" x14ac:dyDescent="0.3">
      <c r="A51" s="440">
        <v>10</v>
      </c>
      <c r="B51" s="441">
        <f t="shared" si="27"/>
        <v>2028</v>
      </c>
      <c r="C51" s="421">
        <v>4260</v>
      </c>
      <c r="D51" s="30">
        <f t="shared" si="24"/>
        <v>1554900</v>
      </c>
      <c r="E51" s="423">
        <v>1.6</v>
      </c>
      <c r="F51" s="426">
        <f t="shared" si="17"/>
        <v>2487840</v>
      </c>
      <c r="G51" s="442">
        <f t="shared" si="28"/>
        <v>222592.02048000001</v>
      </c>
      <c r="H51" s="442">
        <f t="shared" si="29"/>
        <v>40123.883520000003</v>
      </c>
      <c r="I51" s="442">
        <f t="shared" si="30"/>
        <v>18171.183359999999</v>
      </c>
      <c r="J51" s="442">
        <f t="shared" si="25"/>
        <v>280887.08736</v>
      </c>
      <c r="K51" s="442">
        <f t="shared" si="21"/>
        <v>142788.75202923865</v>
      </c>
      <c r="M51" s="425">
        <f t="shared" si="26"/>
        <v>113154.49604584461</v>
      </c>
      <c r="N51" s="425">
        <f t="shared" si="22"/>
        <v>20396.947785087872</v>
      </c>
      <c r="O51" s="425">
        <f t="shared" si="23"/>
        <v>9237.308198306162</v>
      </c>
    </row>
    <row r="52" spans="1:15" ht="15" customHeight="1" x14ac:dyDescent="0.3">
      <c r="A52" s="440">
        <v>11</v>
      </c>
      <c r="B52" s="441">
        <f t="shared" si="27"/>
        <v>2029</v>
      </c>
      <c r="C52" s="421">
        <v>4280</v>
      </c>
      <c r="D52" s="30">
        <f t="shared" si="24"/>
        <v>1562200</v>
      </c>
      <c r="E52" s="423">
        <v>1.6</v>
      </c>
      <c r="F52" s="426">
        <f t="shared" si="17"/>
        <v>2499520</v>
      </c>
      <c r="G52" s="442">
        <f t="shared" si="28"/>
        <v>223637.05343999999</v>
      </c>
      <c r="H52" s="442">
        <f t="shared" si="29"/>
        <v>40312.258560000002</v>
      </c>
      <c r="I52" s="442">
        <f t="shared" si="30"/>
        <v>18256.494079999997</v>
      </c>
      <c r="J52" s="442">
        <f t="shared" si="25"/>
        <v>282205.80607999995</v>
      </c>
      <c r="K52" s="442">
        <f t="shared" si="21"/>
        <v>134073.94556736018</v>
      </c>
      <c r="M52" s="425">
        <f t="shared" si="26"/>
        <v>106248.35309468975</v>
      </c>
      <c r="N52" s="425">
        <f t="shared" si="22"/>
        <v>19152.06364796983</v>
      </c>
      <c r="O52" s="425">
        <f t="shared" si="23"/>
        <v>8673.5288247006192</v>
      </c>
    </row>
    <row r="53" spans="1:15" ht="15" customHeight="1" x14ac:dyDescent="0.3">
      <c r="A53" s="440">
        <v>12</v>
      </c>
      <c r="B53" s="441">
        <f t="shared" si="27"/>
        <v>2030</v>
      </c>
      <c r="C53" s="421">
        <v>4300</v>
      </c>
      <c r="D53" s="30">
        <f t="shared" si="24"/>
        <v>1569500</v>
      </c>
      <c r="E53" s="423">
        <v>1.6</v>
      </c>
      <c r="F53" s="426">
        <f t="shared" si="17"/>
        <v>2511200</v>
      </c>
      <c r="G53" s="442">
        <f t="shared" si="28"/>
        <v>224682.0864</v>
      </c>
      <c r="H53" s="442">
        <f t="shared" si="29"/>
        <v>40500.633600000001</v>
      </c>
      <c r="I53" s="442">
        <f t="shared" si="30"/>
        <v>18341.804799999998</v>
      </c>
      <c r="J53" s="442">
        <f t="shared" si="25"/>
        <v>283524.52479999996</v>
      </c>
      <c r="K53" s="442">
        <f t="shared" si="21"/>
        <v>125888.27974924642</v>
      </c>
      <c r="M53" s="425">
        <f t="shared" si="26"/>
        <v>99761.533388760159</v>
      </c>
      <c r="N53" s="425">
        <f t="shared" si="22"/>
        <v>17982.765675227154</v>
      </c>
      <c r="O53" s="425">
        <f t="shared" si="23"/>
        <v>8143.9806852591219</v>
      </c>
    </row>
    <row r="54" spans="1:15" ht="15" customHeight="1" x14ac:dyDescent="0.3">
      <c r="A54" s="440">
        <v>13</v>
      </c>
      <c r="B54" s="441">
        <f t="shared" si="27"/>
        <v>2031</v>
      </c>
      <c r="C54" s="421">
        <v>4320</v>
      </c>
      <c r="D54" s="30">
        <f t="shared" si="24"/>
        <v>1576800</v>
      </c>
      <c r="E54" s="423">
        <v>1.6</v>
      </c>
      <c r="F54" s="426">
        <f t="shared" si="17"/>
        <v>2522880</v>
      </c>
      <c r="G54" s="442">
        <f t="shared" si="28"/>
        <v>225727.11935999998</v>
      </c>
      <c r="H54" s="442">
        <f t="shared" si="29"/>
        <v>40689.00864</v>
      </c>
      <c r="I54" s="442">
        <f t="shared" si="30"/>
        <v>18427.115519999999</v>
      </c>
      <c r="J54" s="442">
        <f t="shared" si="25"/>
        <v>284843.24351999996</v>
      </c>
      <c r="K54" s="442">
        <f t="shared" si="21"/>
        <v>118199.81928205705</v>
      </c>
      <c r="M54" s="425">
        <f t="shared" si="26"/>
        <v>93668.729458692425</v>
      </c>
      <c r="N54" s="425">
        <f t="shared" si="22"/>
        <v>16884.492005429536</v>
      </c>
      <c r="O54" s="425">
        <f t="shared" si="23"/>
        <v>7646.5978179351023</v>
      </c>
    </row>
    <row r="55" spans="1:15" ht="15" customHeight="1" x14ac:dyDescent="0.3">
      <c r="A55" s="440">
        <v>14</v>
      </c>
      <c r="B55" s="441">
        <f t="shared" si="27"/>
        <v>2032</v>
      </c>
      <c r="C55" s="421">
        <v>4340</v>
      </c>
      <c r="D55" s="30">
        <f t="shared" si="24"/>
        <v>1584100</v>
      </c>
      <c r="E55" s="423">
        <v>1.6</v>
      </c>
      <c r="F55" s="426">
        <f t="shared" si="17"/>
        <v>2534560</v>
      </c>
      <c r="G55" s="442">
        <f t="shared" si="28"/>
        <v>226772.15231999999</v>
      </c>
      <c r="H55" s="442">
        <f t="shared" si="29"/>
        <v>40877.383679999999</v>
      </c>
      <c r="I55" s="442">
        <f t="shared" si="30"/>
        <v>18512.426240000001</v>
      </c>
      <c r="J55" s="442">
        <f t="shared" si="25"/>
        <v>286161.96223999996</v>
      </c>
      <c r="K55" s="442">
        <f t="shared" si="21"/>
        <v>110978.54268002069</v>
      </c>
      <c r="M55" s="425">
        <f t="shared" si="26"/>
        <v>87946.150452302958</v>
      </c>
      <c r="N55" s="425">
        <f t="shared" si="22"/>
        <v>15852.954158784223</v>
      </c>
      <c r="O55" s="425">
        <f t="shared" si="23"/>
        <v>7179.4380689335303</v>
      </c>
    </row>
    <row r="56" spans="1:15" ht="15" customHeight="1" x14ac:dyDescent="0.3">
      <c r="A56" s="440">
        <v>15</v>
      </c>
      <c r="B56" s="441">
        <f t="shared" si="27"/>
        <v>2033</v>
      </c>
      <c r="C56" s="421">
        <v>4360</v>
      </c>
      <c r="D56" s="30">
        <f t="shared" si="24"/>
        <v>1591400</v>
      </c>
      <c r="E56" s="423">
        <v>1.6</v>
      </c>
      <c r="F56" s="426">
        <f t="shared" si="17"/>
        <v>2546240</v>
      </c>
      <c r="G56" s="442">
        <f t="shared" si="28"/>
        <v>227817.18528000003</v>
      </c>
      <c r="H56" s="442">
        <f t="shared" si="29"/>
        <v>41065.758720000005</v>
      </c>
      <c r="I56" s="442">
        <f t="shared" si="30"/>
        <v>18597.736959999998</v>
      </c>
      <c r="J56" s="442">
        <f t="shared" si="25"/>
        <v>287480.68096000003</v>
      </c>
      <c r="K56" s="442">
        <f t="shared" si="21"/>
        <v>104196.22853802711</v>
      </c>
      <c r="M56" s="425">
        <f t="shared" si="26"/>
        <v>82571.432010861987</v>
      </c>
      <c r="N56" s="425">
        <f t="shared" si="22"/>
        <v>14884.120791657524</v>
      </c>
      <c r="O56" s="425">
        <f t="shared" si="23"/>
        <v>6740.6757355075979</v>
      </c>
    </row>
    <row r="57" spans="1:15" ht="15" customHeight="1" x14ac:dyDescent="0.3">
      <c r="A57" s="440">
        <v>16</v>
      </c>
      <c r="B57" s="441">
        <f t="shared" si="27"/>
        <v>2034</v>
      </c>
      <c r="C57" s="421">
        <v>4380</v>
      </c>
      <c r="D57" s="30">
        <f t="shared" si="24"/>
        <v>1598700</v>
      </c>
      <c r="E57" s="423">
        <v>1.6</v>
      </c>
      <c r="F57" s="426">
        <f t="shared" si="17"/>
        <v>2557920</v>
      </c>
      <c r="G57" s="442">
        <f t="shared" si="28"/>
        <v>228862.21824000002</v>
      </c>
      <c r="H57" s="442">
        <f t="shared" si="29"/>
        <v>41254.133760000004</v>
      </c>
      <c r="I57" s="442">
        <f t="shared" si="30"/>
        <v>18683.04768</v>
      </c>
      <c r="J57" s="442">
        <f t="shared" si="25"/>
        <v>288799.39968000003</v>
      </c>
      <c r="K57" s="442">
        <f t="shared" si="21"/>
        <v>97826.34849450372</v>
      </c>
      <c r="M57" s="425">
        <f t="shared" si="26"/>
        <v>77523.551446363606</v>
      </c>
      <c r="N57" s="425">
        <f t="shared" si="22"/>
        <v>13974.202406640652</v>
      </c>
      <c r="O57" s="425">
        <f t="shared" si="23"/>
        <v>6328.5946414994605</v>
      </c>
    </row>
    <row r="58" spans="1:15" ht="15" customHeight="1" x14ac:dyDescent="0.3">
      <c r="A58" s="440">
        <v>17</v>
      </c>
      <c r="B58" s="441">
        <f t="shared" si="27"/>
        <v>2035</v>
      </c>
      <c r="C58" s="421">
        <v>4410</v>
      </c>
      <c r="D58" s="30">
        <f t="shared" si="24"/>
        <v>1609650</v>
      </c>
      <c r="E58" s="423">
        <v>1.6</v>
      </c>
      <c r="F58" s="426">
        <f t="shared" si="17"/>
        <v>2575440</v>
      </c>
      <c r="G58" s="442">
        <f t="shared" si="28"/>
        <v>230429.76767999999</v>
      </c>
      <c r="H58" s="442">
        <f t="shared" si="29"/>
        <v>41536.696320000003</v>
      </c>
      <c r="I58" s="442">
        <f t="shared" si="30"/>
        <v>18811.013759999998</v>
      </c>
      <c r="J58" s="442">
        <f t="shared" si="25"/>
        <v>290777.47775999998</v>
      </c>
      <c r="K58" s="442">
        <f t="shared" si="21"/>
        <v>92052.702782563341</v>
      </c>
      <c r="M58" s="425">
        <f t="shared" si="26"/>
        <v>72948.163248082506</v>
      </c>
      <c r="N58" s="425">
        <f t="shared" si="22"/>
        <v>13149.454319396847</v>
      </c>
      <c r="O58" s="425">
        <f t="shared" si="23"/>
        <v>5955.0852150839883</v>
      </c>
    </row>
    <row r="59" spans="1:15" ht="15" customHeight="1" x14ac:dyDescent="0.3">
      <c r="A59" s="440">
        <v>18</v>
      </c>
      <c r="B59" s="441">
        <f t="shared" si="27"/>
        <v>2036</v>
      </c>
      <c r="C59" s="421">
        <v>4430</v>
      </c>
      <c r="D59" s="30">
        <f t="shared" si="24"/>
        <v>1616950</v>
      </c>
      <c r="E59" s="423">
        <v>1.6</v>
      </c>
      <c r="F59" s="426">
        <f t="shared" si="17"/>
        <v>2587120</v>
      </c>
      <c r="G59" s="442">
        <f t="shared" si="28"/>
        <v>231474.80064000003</v>
      </c>
      <c r="H59" s="442">
        <f t="shared" si="29"/>
        <v>41725.071360000002</v>
      </c>
      <c r="I59" s="442">
        <f t="shared" si="30"/>
        <v>18896.324479999999</v>
      </c>
      <c r="J59" s="442">
        <f t="shared" si="25"/>
        <v>292096.19648000004</v>
      </c>
      <c r="K59" s="442">
        <f t="shared" si="21"/>
        <v>86420.724633215854</v>
      </c>
      <c r="M59" s="425">
        <f t="shared" si="26"/>
        <v>68485.041047111605</v>
      </c>
      <c r="N59" s="425">
        <f t="shared" si="22"/>
        <v>12344.943021367757</v>
      </c>
      <c r="O59" s="425">
        <f t="shared" si="23"/>
        <v>5590.7405647364885</v>
      </c>
    </row>
    <row r="60" spans="1:15" ht="15" customHeight="1" x14ac:dyDescent="0.3">
      <c r="A60" s="440">
        <v>19</v>
      </c>
      <c r="B60" s="441">
        <f t="shared" si="27"/>
        <v>2037</v>
      </c>
      <c r="C60" s="421">
        <v>4450</v>
      </c>
      <c r="D60" s="30">
        <f t="shared" si="24"/>
        <v>1624250</v>
      </c>
      <c r="E60" s="423">
        <v>1.6</v>
      </c>
      <c r="F60" s="426">
        <f t="shared" si="17"/>
        <v>2598800</v>
      </c>
      <c r="G60" s="442">
        <f t="shared" si="28"/>
        <v>232519.83360000004</v>
      </c>
      <c r="H60" s="442">
        <f t="shared" si="29"/>
        <v>41913.446400000001</v>
      </c>
      <c r="I60" s="442">
        <f t="shared" si="30"/>
        <v>18981.635200000001</v>
      </c>
      <c r="J60" s="442">
        <f t="shared" si="25"/>
        <v>293414.91520000005</v>
      </c>
      <c r="K60" s="442">
        <f t="shared" si="21"/>
        <v>81131.669082468841</v>
      </c>
      <c r="M60" s="425">
        <f t="shared" si="26"/>
        <v>64293.671580693794</v>
      </c>
      <c r="N60" s="425">
        <f t="shared" si="22"/>
        <v>11589.417194803173</v>
      </c>
      <c r="O60" s="425">
        <f t="shared" si="23"/>
        <v>5248.5803069718731</v>
      </c>
    </row>
    <row r="61" spans="1:15" ht="15" customHeight="1" x14ac:dyDescent="0.3">
      <c r="A61" s="440">
        <v>20</v>
      </c>
      <c r="B61" s="441">
        <f t="shared" si="27"/>
        <v>2038</v>
      </c>
      <c r="C61" s="421">
        <v>4470</v>
      </c>
      <c r="D61" s="30">
        <f t="shared" si="24"/>
        <v>1631550</v>
      </c>
      <c r="E61" s="423">
        <v>1.6</v>
      </c>
      <c r="F61" s="426">
        <f t="shared" si="17"/>
        <v>2610480</v>
      </c>
      <c r="G61" s="442">
        <f t="shared" si="28"/>
        <v>233564.86656000002</v>
      </c>
      <c r="H61" s="442">
        <f t="shared" si="29"/>
        <v>42101.82144</v>
      </c>
      <c r="I61" s="442">
        <f t="shared" si="30"/>
        <v>19066.945920000002</v>
      </c>
      <c r="J61" s="442">
        <f t="shared" si="25"/>
        <v>294733.63392000005</v>
      </c>
      <c r="K61" s="442">
        <f t="shared" si="21"/>
        <v>76164.771773314234</v>
      </c>
      <c r="M61" s="425">
        <f t="shared" si="26"/>
        <v>60357.599908789511</v>
      </c>
      <c r="N61" s="425">
        <f t="shared" si="22"/>
        <v>10879.910713172358</v>
      </c>
      <c r="O61" s="425">
        <f t="shared" si="23"/>
        <v>4927.2611513523625</v>
      </c>
    </row>
    <row r="62" spans="1:15" ht="15" customHeight="1" x14ac:dyDescent="0.3">
      <c r="A62" s="440">
        <v>21</v>
      </c>
      <c r="B62" s="441">
        <f t="shared" si="27"/>
        <v>2039</v>
      </c>
      <c r="C62" s="421">
        <v>4490</v>
      </c>
      <c r="D62" s="30">
        <f t="shared" si="24"/>
        <v>1638850</v>
      </c>
      <c r="E62" s="423">
        <v>1.6</v>
      </c>
      <c r="F62" s="426">
        <f t="shared" si="17"/>
        <v>2622160</v>
      </c>
      <c r="G62" s="442">
        <f t="shared" si="28"/>
        <v>234609.89952000004</v>
      </c>
      <c r="H62" s="442">
        <f t="shared" si="29"/>
        <v>42290.196479999999</v>
      </c>
      <c r="I62" s="442">
        <f t="shared" si="30"/>
        <v>19152.25664</v>
      </c>
      <c r="J62" s="442">
        <f t="shared" si="25"/>
        <v>296052.35264</v>
      </c>
      <c r="K62" s="442">
        <f t="shared" si="21"/>
        <v>71500.517523297764</v>
      </c>
      <c r="M62" s="425">
        <f t="shared" si="26"/>
        <v>56661.361013290036</v>
      </c>
      <c r="N62" s="425">
        <f t="shared" si="22"/>
        <v>10213.635890807644</v>
      </c>
      <c r="O62" s="425">
        <f t="shared" si="23"/>
        <v>4625.5206192000887</v>
      </c>
    </row>
    <row r="63" spans="1:15" ht="15" customHeight="1" x14ac:dyDescent="0.3">
      <c r="A63" s="440">
        <v>22</v>
      </c>
      <c r="B63" s="441">
        <f t="shared" si="27"/>
        <v>2040</v>
      </c>
      <c r="C63" s="421">
        <v>4510</v>
      </c>
      <c r="D63" s="30">
        <f t="shared" si="24"/>
        <v>1646150</v>
      </c>
      <c r="E63" s="423">
        <v>1.6</v>
      </c>
      <c r="F63" s="426">
        <f t="shared" si="17"/>
        <v>2633840</v>
      </c>
      <c r="G63" s="442">
        <f t="shared" si="28"/>
        <v>235654.93248000002</v>
      </c>
      <c r="H63" s="442">
        <f t="shared" si="29"/>
        <v>42478.571519999998</v>
      </c>
      <c r="I63" s="442">
        <f t="shared" si="30"/>
        <v>19237.567360000001</v>
      </c>
      <c r="J63" s="442">
        <f t="shared" si="25"/>
        <v>297371.07136</v>
      </c>
      <c r="K63" s="442">
        <f t="shared" si="21"/>
        <v>67120.565749447982</v>
      </c>
      <c r="M63" s="425">
        <f t="shared" si="26"/>
        <v>53190.420700193172</v>
      </c>
      <c r="N63" s="425">
        <f t="shared" si="22"/>
        <v>9587.9728300777369</v>
      </c>
      <c r="O63" s="425">
        <f t="shared" si="23"/>
        <v>4342.1722191770714</v>
      </c>
    </row>
    <row r="64" spans="1:15" ht="15" customHeight="1" x14ac:dyDescent="0.3">
      <c r="A64" s="440">
        <v>23</v>
      </c>
      <c r="B64" s="441">
        <f t="shared" si="27"/>
        <v>2041</v>
      </c>
      <c r="C64" s="421">
        <v>4530</v>
      </c>
      <c r="D64" s="30">
        <f t="shared" si="24"/>
        <v>1653450</v>
      </c>
      <c r="E64" s="423">
        <v>1.6</v>
      </c>
      <c r="F64" s="426">
        <f t="shared" si="17"/>
        <v>2645520</v>
      </c>
      <c r="G64" s="442">
        <f t="shared" si="28"/>
        <v>236699.96544000003</v>
      </c>
      <c r="H64" s="442">
        <f t="shared" si="29"/>
        <v>42666.946559999997</v>
      </c>
      <c r="I64" s="442">
        <f t="shared" si="30"/>
        <v>19322.878080000002</v>
      </c>
      <c r="J64" s="442">
        <f t="shared" si="25"/>
        <v>298689.79008000001</v>
      </c>
      <c r="K64" s="442">
        <f t="shared" si="21"/>
        <v>63007.680304411653</v>
      </c>
      <c r="M64" s="425">
        <f t="shared" si="26"/>
        <v>49931.119997487425</v>
      </c>
      <c r="N64" s="425">
        <f t="shared" si="22"/>
        <v>9000.4593986887194</v>
      </c>
      <c r="O64" s="425">
        <f t="shared" si="23"/>
        <v>4076.1009082355167</v>
      </c>
    </row>
    <row r="65" spans="1:15" ht="15" customHeight="1" x14ac:dyDescent="0.3">
      <c r="A65" s="440">
        <v>24</v>
      </c>
      <c r="B65" s="441">
        <f t="shared" si="27"/>
        <v>2042</v>
      </c>
      <c r="C65" s="421">
        <v>4550</v>
      </c>
      <c r="D65" s="30">
        <f t="shared" si="24"/>
        <v>1660750</v>
      </c>
      <c r="E65" s="423">
        <v>1.6</v>
      </c>
      <c r="F65" s="426">
        <f t="shared" si="17"/>
        <v>2657200</v>
      </c>
      <c r="G65" s="442">
        <f t="shared" si="28"/>
        <v>237744.99839999998</v>
      </c>
      <c r="H65" s="442">
        <f t="shared" si="29"/>
        <v>42855.321599999996</v>
      </c>
      <c r="I65" s="442">
        <f t="shared" si="30"/>
        <v>19408.1888</v>
      </c>
      <c r="J65" s="442">
        <f t="shared" si="25"/>
        <v>300008.50879999995</v>
      </c>
      <c r="K65" s="442">
        <f t="shared" si="21"/>
        <v>59145.663465798716</v>
      </c>
      <c r="M65" s="425">
        <f t="shared" si="26"/>
        <v>46870.622844291996</v>
      </c>
      <c r="N65" s="425">
        <f t="shared" si="22"/>
        <v>8448.7818002586428</v>
      </c>
      <c r="O65" s="425">
        <f t="shared" si="23"/>
        <v>3826.258821248086</v>
      </c>
    </row>
    <row r="66" spans="1:15" ht="15" customHeight="1" x14ac:dyDescent="0.3">
      <c r="A66" s="440">
        <v>25</v>
      </c>
      <c r="B66" s="441">
        <f t="shared" si="27"/>
        <v>2043</v>
      </c>
      <c r="C66" s="421">
        <v>4570</v>
      </c>
      <c r="D66" s="30">
        <f t="shared" si="24"/>
        <v>1668050</v>
      </c>
      <c r="E66" s="423">
        <v>1.6</v>
      </c>
      <c r="F66" s="426">
        <f t="shared" si="17"/>
        <v>2668880</v>
      </c>
      <c r="G66" s="442">
        <f t="shared" si="28"/>
        <v>238790.03135999999</v>
      </c>
      <c r="H66" s="442">
        <f t="shared" si="29"/>
        <v>43043.696639999995</v>
      </c>
      <c r="I66" s="442">
        <f t="shared" si="30"/>
        <v>19493.499519999998</v>
      </c>
      <c r="J66" s="442">
        <f t="shared" si="25"/>
        <v>301327.22752000001</v>
      </c>
      <c r="K66" s="442">
        <f t="shared" si="21"/>
        <v>55519.293835616758</v>
      </c>
      <c r="M66" s="425">
        <f t="shared" si="26"/>
        <v>43996.866878589797</v>
      </c>
      <c r="N66" s="425">
        <f t="shared" si="22"/>
        <v>7930.7657034367858</v>
      </c>
      <c r="O66" s="425">
        <f t="shared" si="23"/>
        <v>3591.6612535901713</v>
      </c>
    </row>
    <row r="67" spans="1:15" ht="15" customHeight="1" x14ac:dyDescent="0.3">
      <c r="A67" s="440">
        <v>26</v>
      </c>
      <c r="B67" s="441">
        <f t="shared" si="27"/>
        <v>2044</v>
      </c>
      <c r="C67" s="421">
        <v>4590</v>
      </c>
      <c r="D67" s="30">
        <f t="shared" si="24"/>
        <v>1675350</v>
      </c>
      <c r="E67" s="423">
        <v>1.6</v>
      </c>
      <c r="F67" s="426">
        <f t="shared" si="17"/>
        <v>2680560</v>
      </c>
      <c r="G67" s="442">
        <f t="shared" si="28"/>
        <v>239835.06432</v>
      </c>
      <c r="H67" s="442">
        <f t="shared" si="29"/>
        <v>43232.071679999994</v>
      </c>
      <c r="I67" s="442">
        <f t="shared" si="30"/>
        <v>19578.810239999999</v>
      </c>
      <c r="J67" s="442">
        <f t="shared" si="25"/>
        <v>302645.94624000002</v>
      </c>
      <c r="K67" s="442">
        <f t="shared" si="21"/>
        <v>52114.267920710226</v>
      </c>
      <c r="M67" s="425">
        <f t="shared" si="26"/>
        <v>41298.517142012555</v>
      </c>
      <c r="N67" s="425">
        <f t="shared" si="22"/>
        <v>7444.3678968434633</v>
      </c>
      <c r="O67" s="425">
        <f t="shared" si="23"/>
        <v>3371.3828818542074</v>
      </c>
    </row>
    <row r="68" spans="1:15" ht="15" customHeight="1" x14ac:dyDescent="0.3">
      <c r="A68" s="440">
        <v>27</v>
      </c>
      <c r="B68" s="441">
        <f t="shared" si="27"/>
        <v>2045</v>
      </c>
      <c r="C68" s="421">
        <v>4610</v>
      </c>
      <c r="D68" s="30">
        <f t="shared" si="24"/>
        <v>1682650</v>
      </c>
      <c r="E68" s="423">
        <v>1.6</v>
      </c>
      <c r="F68" s="426">
        <f t="shared" si="17"/>
        <v>2692240</v>
      </c>
      <c r="G68" s="442">
        <f t="shared" si="28"/>
        <v>240880.09727999999</v>
      </c>
      <c r="H68" s="442">
        <f t="shared" si="29"/>
        <v>43420.446719999993</v>
      </c>
      <c r="I68" s="442">
        <f t="shared" si="30"/>
        <v>19664.12096</v>
      </c>
      <c r="J68" s="442">
        <f t="shared" si="25"/>
        <v>303964.66495999997</v>
      </c>
      <c r="K68" s="442">
        <f t="shared" si="21"/>
        <v>48917.1451783589</v>
      </c>
      <c r="M68" s="425">
        <f t="shared" si="26"/>
        <v>38764.922530628923</v>
      </c>
      <c r="N68" s="425">
        <f t="shared" si="22"/>
        <v>6987.6684389974871</v>
      </c>
      <c r="O68" s="425">
        <f t="shared" si="23"/>
        <v>3164.5542087324934</v>
      </c>
    </row>
    <row r="69" spans="1:15" ht="15" customHeight="1" x14ac:dyDescent="0.3">
      <c r="A69" s="440">
        <v>28</v>
      </c>
      <c r="B69" s="441">
        <f t="shared" si="27"/>
        <v>2046</v>
      </c>
      <c r="C69" s="421">
        <v>4630</v>
      </c>
      <c r="D69" s="30">
        <f t="shared" si="24"/>
        <v>1689950</v>
      </c>
      <c r="E69" s="423">
        <v>1.6</v>
      </c>
      <c r="F69" s="426">
        <f t="shared" si="17"/>
        <v>2703920</v>
      </c>
      <c r="G69" s="442">
        <f t="shared" si="28"/>
        <v>241925.13024000003</v>
      </c>
      <c r="H69" s="442">
        <f t="shared" si="29"/>
        <v>43608.821759999999</v>
      </c>
      <c r="I69" s="442">
        <f t="shared" si="30"/>
        <v>19749.431679999998</v>
      </c>
      <c r="J69" s="442">
        <f t="shared" si="25"/>
        <v>305283.38368000003</v>
      </c>
      <c r="K69" s="442">
        <f t="shared" si="21"/>
        <v>45915.296323677052</v>
      </c>
      <c r="M69" s="425">
        <f t="shared" si="26"/>
        <v>36386.074830582031</v>
      </c>
      <c r="N69" s="425">
        <f t="shared" si="22"/>
        <v>6558.8632741821675</v>
      </c>
      <c r="O69" s="425">
        <f t="shared" si="23"/>
        <v>2970.358218912856</v>
      </c>
    </row>
    <row r="70" spans="1:15" ht="15" customHeight="1" x14ac:dyDescent="0.3">
      <c r="A70" s="443">
        <v>29</v>
      </c>
      <c r="B70" s="441">
        <f t="shared" si="27"/>
        <v>2047</v>
      </c>
      <c r="C70" s="421">
        <v>4650</v>
      </c>
      <c r="D70" s="30">
        <f t="shared" si="24"/>
        <v>1697250</v>
      </c>
      <c r="E70" s="423">
        <v>1.6</v>
      </c>
      <c r="F70" s="444">
        <f t="shared" si="17"/>
        <v>2715600</v>
      </c>
      <c r="G70" s="442">
        <f t="shared" si="28"/>
        <v>242970.16320000001</v>
      </c>
      <c r="H70" s="442">
        <f t="shared" si="29"/>
        <v>43797.196799999998</v>
      </c>
      <c r="I70" s="442">
        <f t="shared" si="30"/>
        <v>19834.742399999999</v>
      </c>
      <c r="J70" s="442">
        <f t="shared" si="25"/>
        <v>306602.10239999997</v>
      </c>
      <c r="K70" s="442">
        <f t="shared" si="21"/>
        <v>43096.854707232036</v>
      </c>
      <c r="M70" s="425">
        <f t="shared" si="26"/>
        <v>34152.5701867557</v>
      </c>
      <c r="N70" s="425">
        <f t="shared" si="22"/>
        <v>6156.2572868830011</v>
      </c>
      <c r="O70" s="425">
        <f t="shared" si="23"/>
        <v>2788.0272335933432</v>
      </c>
    </row>
    <row r="71" spans="1:15" ht="15" customHeight="1" x14ac:dyDescent="0.3">
      <c r="A71" s="440">
        <f>1+A70</f>
        <v>30</v>
      </c>
      <c r="B71" s="441">
        <f t="shared" si="27"/>
        <v>2048</v>
      </c>
      <c r="C71" s="421">
        <v>4670</v>
      </c>
      <c r="D71" s="30">
        <f t="shared" si="24"/>
        <v>1704550</v>
      </c>
      <c r="E71" s="423">
        <v>1.6</v>
      </c>
      <c r="F71" s="426">
        <f t="shared" si="17"/>
        <v>2727280</v>
      </c>
      <c r="G71" s="442">
        <f t="shared" si="28"/>
        <v>244015.19616000002</v>
      </c>
      <c r="H71" s="442">
        <f t="shared" si="29"/>
        <v>43985.571839999997</v>
      </c>
      <c r="I71" s="442">
        <f t="shared" si="30"/>
        <v>19920.05312</v>
      </c>
      <c r="J71" s="442">
        <f t="shared" si="25"/>
        <v>307920.82112000004</v>
      </c>
      <c r="K71" s="442">
        <f t="shared" si="21"/>
        <v>40450.670582408537</v>
      </c>
      <c r="M71" s="425">
        <f t="shared" si="26"/>
        <v>32055.572861450935</v>
      </c>
      <c r="N71" s="425">
        <f t="shared" si="22"/>
        <v>5778.2577690169055</v>
      </c>
      <c r="O71" s="425">
        <f t="shared" si="23"/>
        <v>2616.8399519406921</v>
      </c>
    </row>
    <row r="72" spans="1:15" ht="15" customHeight="1" x14ac:dyDescent="0.3">
      <c r="A72" s="443">
        <f>1+A71</f>
        <v>31</v>
      </c>
      <c r="B72" s="441">
        <f t="shared" si="27"/>
        <v>2049</v>
      </c>
      <c r="C72" s="421">
        <v>4670</v>
      </c>
      <c r="D72" s="30">
        <f t="shared" si="24"/>
        <v>1704550</v>
      </c>
      <c r="E72" s="423">
        <v>1.6</v>
      </c>
      <c r="F72" s="444">
        <f t="shared" si="17"/>
        <v>2727280</v>
      </c>
      <c r="G72" s="442">
        <f t="shared" si="28"/>
        <v>244015.19616000002</v>
      </c>
      <c r="H72" s="442">
        <f t="shared" si="29"/>
        <v>43985.571839999997</v>
      </c>
      <c r="I72" s="442">
        <f t="shared" si="30"/>
        <v>19920.05312</v>
      </c>
      <c r="J72" s="442">
        <f t="shared" si="25"/>
        <v>307920.82112000004</v>
      </c>
      <c r="K72" s="442">
        <f t="shared" si="21"/>
        <v>37804.365030288347</v>
      </c>
      <c r="M72" s="425">
        <f t="shared" si="26"/>
        <v>29958.479309767223</v>
      </c>
      <c r="N72" s="425">
        <f t="shared" si="22"/>
        <v>5400.2409056232755</v>
      </c>
      <c r="O72" s="425">
        <f t="shared" si="23"/>
        <v>2445.6448148978429</v>
      </c>
    </row>
    <row r="73" spans="1:15" ht="15" customHeight="1" x14ac:dyDescent="0.3">
      <c r="A73" s="576" t="s">
        <v>11</v>
      </c>
      <c r="B73" s="577"/>
      <c r="C73" s="577"/>
      <c r="D73" s="577"/>
      <c r="E73" s="577"/>
      <c r="F73" s="577"/>
      <c r="G73" s="577"/>
      <c r="H73" s="577"/>
      <c r="I73" s="577"/>
      <c r="J73" s="578"/>
      <c r="K73" s="445">
        <f>SUM(K41:K70)</f>
        <v>2162528.2342032013</v>
      </c>
      <c r="M73" s="432">
        <f>SUM(M41:M70)</f>
        <v>1713718.9662955152</v>
      </c>
      <c r="N73" s="432">
        <f>SUM(N41:N70)</f>
        <v>308910.71495455637</v>
      </c>
      <c r="O73" s="432">
        <f>SUM(O41:O70)</f>
        <v>139898.5529531299</v>
      </c>
    </row>
    <row r="75" spans="1:15" ht="15" customHeight="1" x14ac:dyDescent="0.25">
      <c r="A75" s="573" t="s">
        <v>176</v>
      </c>
      <c r="B75" s="574"/>
      <c r="C75" s="574"/>
      <c r="D75" s="574"/>
      <c r="E75" s="574"/>
      <c r="F75" s="574"/>
      <c r="G75" s="574"/>
      <c r="H75" s="574"/>
      <c r="I75" s="574"/>
      <c r="J75" s="574"/>
      <c r="K75" s="575"/>
      <c r="M75" s="191"/>
      <c r="N75" s="191"/>
      <c r="O75" s="191"/>
    </row>
    <row r="76" spans="1:15" ht="15" customHeight="1" x14ac:dyDescent="0.3">
      <c r="A76" s="438" t="s">
        <v>145</v>
      </c>
      <c r="B76" s="438" t="s">
        <v>146</v>
      </c>
      <c r="C76" s="438" t="s">
        <v>147</v>
      </c>
      <c r="D76" s="438" t="s">
        <v>148</v>
      </c>
      <c r="E76" s="438" t="s">
        <v>149</v>
      </c>
      <c r="F76" s="438" t="s">
        <v>150</v>
      </c>
      <c r="G76" s="438" t="s">
        <v>155</v>
      </c>
      <c r="H76" s="438" t="s">
        <v>88</v>
      </c>
      <c r="I76" s="438" t="s">
        <v>156</v>
      </c>
      <c r="J76" s="438" t="s">
        <v>157</v>
      </c>
      <c r="K76" s="438" t="s">
        <v>158</v>
      </c>
      <c r="M76" s="415" t="s">
        <v>160</v>
      </c>
      <c r="N76" s="415" t="s">
        <v>160</v>
      </c>
      <c r="O76" s="415" t="s">
        <v>160</v>
      </c>
    </row>
    <row r="77" spans="1:15" ht="15" customHeight="1" x14ac:dyDescent="0.3">
      <c r="A77" s="446" t="s">
        <v>29</v>
      </c>
      <c r="B77" s="446" t="s">
        <v>30</v>
      </c>
      <c r="C77" s="446" t="s">
        <v>181</v>
      </c>
      <c r="D77" s="446" t="s">
        <v>182</v>
      </c>
      <c r="E77" s="446" t="s">
        <v>183</v>
      </c>
      <c r="F77" s="446" t="s">
        <v>184</v>
      </c>
      <c r="G77" s="446" t="s">
        <v>185</v>
      </c>
      <c r="H77" s="446" t="s">
        <v>186</v>
      </c>
      <c r="I77" s="446" t="s">
        <v>187</v>
      </c>
      <c r="J77" s="446" t="s">
        <v>188</v>
      </c>
      <c r="K77" s="447" t="s">
        <v>32</v>
      </c>
      <c r="M77" s="417" t="s">
        <v>189</v>
      </c>
      <c r="N77" s="417" t="s">
        <v>190</v>
      </c>
      <c r="O77" s="417" t="s">
        <v>191</v>
      </c>
    </row>
    <row r="78" spans="1:15" ht="15" customHeight="1" x14ac:dyDescent="0.3">
      <c r="A78" s="448">
        <v>0</v>
      </c>
      <c r="B78" s="441">
        <v>2018</v>
      </c>
      <c r="C78" s="421">
        <v>4060</v>
      </c>
      <c r="D78" s="30">
        <f>C78*365</f>
        <v>1481900</v>
      </c>
      <c r="E78" s="423">
        <v>0</v>
      </c>
      <c r="F78" s="426">
        <f t="shared" ref="F78:F109" si="31">D78*E78</f>
        <v>0</v>
      </c>
      <c r="G78" s="442">
        <f t="shared" ref="G78:G84" si="32">(F78)/100000000*9600000*0.932</f>
        <v>0</v>
      </c>
      <c r="H78" s="442">
        <f t="shared" ref="H78:H84" si="33">(F78)/100000000*9600000*0.003*56</f>
        <v>0</v>
      </c>
      <c r="I78" s="442">
        <f t="shared" ref="I78:I84" si="34">(F78)/100000000*166*4400</f>
        <v>0</v>
      </c>
      <c r="J78" s="442">
        <f>G78+H78+I78</f>
        <v>0</v>
      </c>
      <c r="K78" s="442">
        <f t="shared" ref="K78:K109" si="35">J78/(1+0.07)^A78</f>
        <v>0</v>
      </c>
      <c r="M78" s="425">
        <f>G78/(1+0.07)^$A78</f>
        <v>0</v>
      </c>
      <c r="N78" s="425">
        <f t="shared" ref="N78:N109" si="36">H78/(1+0.07)^$A78</f>
        <v>0</v>
      </c>
      <c r="O78" s="425">
        <f t="shared" ref="O78:O109" si="37">I78/(1+0.07)^$A78</f>
        <v>0</v>
      </c>
    </row>
    <row r="79" spans="1:15" ht="15" customHeight="1" x14ac:dyDescent="0.3">
      <c r="A79" s="448">
        <v>1</v>
      </c>
      <c r="B79" s="441">
        <f>1+B78</f>
        <v>2019</v>
      </c>
      <c r="C79" s="421">
        <v>4080</v>
      </c>
      <c r="D79" s="30">
        <f t="shared" ref="D79:D109" si="38">C79*365</f>
        <v>1489200</v>
      </c>
      <c r="E79" s="423">
        <v>0</v>
      </c>
      <c r="F79" s="426">
        <f t="shared" si="31"/>
        <v>0</v>
      </c>
      <c r="G79" s="442">
        <f t="shared" si="32"/>
        <v>0</v>
      </c>
      <c r="H79" s="442">
        <f t="shared" si="33"/>
        <v>0</v>
      </c>
      <c r="I79" s="442">
        <f t="shared" si="34"/>
        <v>0</v>
      </c>
      <c r="J79" s="442">
        <f t="shared" ref="J79:J109" si="39">G79+H79+I79</f>
        <v>0</v>
      </c>
      <c r="K79" s="442">
        <f t="shared" si="35"/>
        <v>0</v>
      </c>
      <c r="M79" s="425">
        <f t="shared" ref="M79:M109" si="40">G79/(1+0.07)^$A79</f>
        <v>0</v>
      </c>
      <c r="N79" s="425">
        <f t="shared" si="36"/>
        <v>0</v>
      </c>
      <c r="O79" s="425">
        <f t="shared" si="37"/>
        <v>0</v>
      </c>
    </row>
    <row r="80" spans="1:15" ht="15" customHeight="1" x14ac:dyDescent="0.3">
      <c r="A80" s="448">
        <v>2</v>
      </c>
      <c r="B80" s="441">
        <f t="shared" ref="B80:B109" si="41">1+B79</f>
        <v>2020</v>
      </c>
      <c r="C80" s="421">
        <v>4100</v>
      </c>
      <c r="D80" s="30">
        <f t="shared" si="38"/>
        <v>1496500</v>
      </c>
      <c r="E80" s="423">
        <v>0</v>
      </c>
      <c r="F80" s="426">
        <f t="shared" si="31"/>
        <v>0</v>
      </c>
      <c r="G80" s="442">
        <f t="shared" si="32"/>
        <v>0</v>
      </c>
      <c r="H80" s="442">
        <f t="shared" si="33"/>
        <v>0</v>
      </c>
      <c r="I80" s="442">
        <f t="shared" si="34"/>
        <v>0</v>
      </c>
      <c r="J80" s="442">
        <f t="shared" si="39"/>
        <v>0</v>
      </c>
      <c r="K80" s="442">
        <f t="shared" si="35"/>
        <v>0</v>
      </c>
      <c r="M80" s="425">
        <f t="shared" si="40"/>
        <v>0</v>
      </c>
      <c r="N80" s="425">
        <f t="shared" si="36"/>
        <v>0</v>
      </c>
      <c r="O80" s="425">
        <f t="shared" si="37"/>
        <v>0</v>
      </c>
    </row>
    <row r="81" spans="1:15" ht="15" customHeight="1" x14ac:dyDescent="0.3">
      <c r="A81" s="448">
        <v>3</v>
      </c>
      <c r="B81" s="441">
        <f t="shared" si="41"/>
        <v>2021</v>
      </c>
      <c r="C81" s="421">
        <v>4120</v>
      </c>
      <c r="D81" s="30">
        <f t="shared" si="38"/>
        <v>1503800</v>
      </c>
      <c r="E81" s="423">
        <v>0</v>
      </c>
      <c r="F81" s="426">
        <f t="shared" si="31"/>
        <v>0</v>
      </c>
      <c r="G81" s="442">
        <f t="shared" si="32"/>
        <v>0</v>
      </c>
      <c r="H81" s="442">
        <f t="shared" si="33"/>
        <v>0</v>
      </c>
      <c r="I81" s="442">
        <f t="shared" si="34"/>
        <v>0</v>
      </c>
      <c r="J81" s="442">
        <f t="shared" si="39"/>
        <v>0</v>
      </c>
      <c r="K81" s="442">
        <f t="shared" si="35"/>
        <v>0</v>
      </c>
      <c r="M81" s="425">
        <f t="shared" si="40"/>
        <v>0</v>
      </c>
      <c r="N81" s="425">
        <f t="shared" si="36"/>
        <v>0</v>
      </c>
      <c r="O81" s="425">
        <f t="shared" si="37"/>
        <v>0</v>
      </c>
    </row>
    <row r="82" spans="1:15" ht="15" customHeight="1" x14ac:dyDescent="0.3">
      <c r="A82" s="448">
        <v>4</v>
      </c>
      <c r="B82" s="441">
        <f t="shared" si="41"/>
        <v>2022</v>
      </c>
      <c r="C82" s="421">
        <v>4140</v>
      </c>
      <c r="D82" s="30">
        <f t="shared" si="38"/>
        <v>1511100</v>
      </c>
      <c r="E82" s="423">
        <v>0</v>
      </c>
      <c r="F82" s="426">
        <f t="shared" si="31"/>
        <v>0</v>
      </c>
      <c r="G82" s="442">
        <f t="shared" si="32"/>
        <v>0</v>
      </c>
      <c r="H82" s="442">
        <f t="shared" si="33"/>
        <v>0</v>
      </c>
      <c r="I82" s="442">
        <f t="shared" si="34"/>
        <v>0</v>
      </c>
      <c r="J82" s="442">
        <f t="shared" si="39"/>
        <v>0</v>
      </c>
      <c r="K82" s="442">
        <f t="shared" si="35"/>
        <v>0</v>
      </c>
      <c r="M82" s="425">
        <f t="shared" si="40"/>
        <v>0</v>
      </c>
      <c r="N82" s="425">
        <f t="shared" si="36"/>
        <v>0</v>
      </c>
      <c r="O82" s="425">
        <f t="shared" si="37"/>
        <v>0</v>
      </c>
    </row>
    <row r="83" spans="1:15" ht="15" customHeight="1" x14ac:dyDescent="0.3">
      <c r="A83" s="448">
        <v>5</v>
      </c>
      <c r="B83" s="441">
        <f t="shared" si="41"/>
        <v>2023</v>
      </c>
      <c r="C83" s="421">
        <v>4160</v>
      </c>
      <c r="D83" s="30">
        <f t="shared" si="38"/>
        <v>1518400</v>
      </c>
      <c r="E83" s="423">
        <v>0</v>
      </c>
      <c r="F83" s="426">
        <f t="shared" si="31"/>
        <v>0</v>
      </c>
      <c r="G83" s="442">
        <f t="shared" si="32"/>
        <v>0</v>
      </c>
      <c r="H83" s="442">
        <f t="shared" si="33"/>
        <v>0</v>
      </c>
      <c r="I83" s="442">
        <f t="shared" si="34"/>
        <v>0</v>
      </c>
      <c r="J83" s="442">
        <f t="shared" si="39"/>
        <v>0</v>
      </c>
      <c r="K83" s="442">
        <f t="shared" si="35"/>
        <v>0</v>
      </c>
      <c r="M83" s="425">
        <f t="shared" si="40"/>
        <v>0</v>
      </c>
      <c r="N83" s="425">
        <f t="shared" si="36"/>
        <v>0</v>
      </c>
      <c r="O83" s="425">
        <f t="shared" si="37"/>
        <v>0</v>
      </c>
    </row>
    <row r="84" spans="1:15" ht="15" customHeight="1" x14ac:dyDescent="0.3">
      <c r="A84" s="448">
        <v>6</v>
      </c>
      <c r="B84" s="441">
        <f t="shared" si="41"/>
        <v>2024</v>
      </c>
      <c r="C84" s="421">
        <v>4180</v>
      </c>
      <c r="D84" s="30">
        <f t="shared" si="38"/>
        <v>1525700</v>
      </c>
      <c r="E84" s="423">
        <v>0</v>
      </c>
      <c r="F84" s="426">
        <f t="shared" si="31"/>
        <v>0</v>
      </c>
      <c r="G84" s="442">
        <f t="shared" si="32"/>
        <v>0</v>
      </c>
      <c r="H84" s="442">
        <f t="shared" si="33"/>
        <v>0</v>
      </c>
      <c r="I84" s="442">
        <f t="shared" si="34"/>
        <v>0</v>
      </c>
      <c r="J84" s="442">
        <f t="shared" si="39"/>
        <v>0</v>
      </c>
      <c r="K84" s="442">
        <f t="shared" si="35"/>
        <v>0</v>
      </c>
      <c r="M84" s="425">
        <f t="shared" si="40"/>
        <v>0</v>
      </c>
      <c r="N84" s="425">
        <f t="shared" si="36"/>
        <v>0</v>
      </c>
      <c r="O84" s="425">
        <f t="shared" si="37"/>
        <v>0</v>
      </c>
    </row>
    <row r="85" spans="1:15" ht="15" customHeight="1" x14ac:dyDescent="0.3">
      <c r="A85" s="448">
        <v>7</v>
      </c>
      <c r="B85" s="441">
        <f t="shared" si="41"/>
        <v>2025</v>
      </c>
      <c r="C85" s="421">
        <v>4200</v>
      </c>
      <c r="D85" s="30">
        <f t="shared" si="38"/>
        <v>1533000</v>
      </c>
      <c r="E85" s="423">
        <v>2.2000000000000002</v>
      </c>
      <c r="F85" s="426">
        <f t="shared" si="31"/>
        <v>3372600.0000000005</v>
      </c>
      <c r="G85" s="442">
        <f>(F85)/100000000*9600000*0.932</f>
        <v>301753.26720000006</v>
      </c>
      <c r="H85" s="442">
        <f>(F85)/100000000*9600000*0.003*56</f>
        <v>54393.29280000001</v>
      </c>
      <c r="I85" s="442">
        <f>(F85)/100000000*166*4400</f>
        <v>24633.470400000006</v>
      </c>
      <c r="J85" s="442">
        <f t="shared" si="39"/>
        <v>380780.03040000005</v>
      </c>
      <c r="K85" s="442">
        <f t="shared" si="35"/>
        <v>237130.66564640679</v>
      </c>
      <c r="M85" s="425">
        <f t="shared" si="40"/>
        <v>187916.76926163209</v>
      </c>
      <c r="N85" s="425">
        <f t="shared" si="36"/>
        <v>33873.409051452996</v>
      </c>
      <c r="O85" s="425">
        <f t="shared" si="37"/>
        <v>15340.487333321718</v>
      </c>
    </row>
    <row r="86" spans="1:15" ht="15" customHeight="1" x14ac:dyDescent="0.3">
      <c r="A86" s="448">
        <v>8</v>
      </c>
      <c r="B86" s="441">
        <f t="shared" si="41"/>
        <v>2026</v>
      </c>
      <c r="C86" s="421">
        <v>4220</v>
      </c>
      <c r="D86" s="30">
        <f t="shared" si="38"/>
        <v>1540300</v>
      </c>
      <c r="E86" s="423">
        <v>2.2000000000000002</v>
      </c>
      <c r="F86" s="426">
        <f t="shared" si="31"/>
        <v>3388660.0000000005</v>
      </c>
      <c r="G86" s="442">
        <f t="shared" ref="G86:G109" si="42">(F86)/100000000*9600000*0.932</f>
        <v>303190.18752000004</v>
      </c>
      <c r="H86" s="442">
        <f t="shared" ref="H86:H109" si="43">(F86)/100000000*9600000*0.003*56</f>
        <v>54652.308480000007</v>
      </c>
      <c r="I86" s="442">
        <f t="shared" ref="I86:I109" si="44">(F86)/100000000*166*4400</f>
        <v>24750.772640000003</v>
      </c>
      <c r="J86" s="442">
        <f t="shared" si="39"/>
        <v>382593.26864000002</v>
      </c>
      <c r="K86" s="442">
        <f t="shared" si="35"/>
        <v>222672.76569377762</v>
      </c>
      <c r="M86" s="425">
        <f t="shared" si="40"/>
        <v>176459.4495514213</v>
      </c>
      <c r="N86" s="425">
        <f t="shared" si="36"/>
        <v>31808.141120857061</v>
      </c>
      <c r="O86" s="425">
        <f t="shared" si="37"/>
        <v>14405.175021499253</v>
      </c>
    </row>
    <row r="87" spans="1:15" ht="15" customHeight="1" x14ac:dyDescent="0.3">
      <c r="A87" s="448">
        <v>9</v>
      </c>
      <c r="B87" s="441">
        <f t="shared" si="41"/>
        <v>2027</v>
      </c>
      <c r="C87" s="421">
        <v>4240</v>
      </c>
      <c r="D87" s="30">
        <f t="shared" si="38"/>
        <v>1547600</v>
      </c>
      <c r="E87" s="423">
        <v>2.2000000000000002</v>
      </c>
      <c r="F87" s="426">
        <f t="shared" si="31"/>
        <v>3404720.0000000005</v>
      </c>
      <c r="G87" s="442">
        <f t="shared" si="42"/>
        <v>304627.10784000007</v>
      </c>
      <c r="H87" s="442">
        <f t="shared" si="43"/>
        <v>54911.324160000011</v>
      </c>
      <c r="I87" s="442">
        <f t="shared" si="44"/>
        <v>24868.074880000004</v>
      </c>
      <c r="J87" s="442">
        <f t="shared" si="39"/>
        <v>384406.50688000012</v>
      </c>
      <c r="K87" s="442">
        <f t="shared" si="35"/>
        <v>209091.66996093749</v>
      </c>
      <c r="M87" s="425">
        <f t="shared" si="40"/>
        <v>165696.9628599961</v>
      </c>
      <c r="N87" s="425">
        <f t="shared" si="36"/>
        <v>29868.122060600152</v>
      </c>
      <c r="O87" s="425">
        <f t="shared" si="37"/>
        <v>13526.585040341239</v>
      </c>
    </row>
    <row r="88" spans="1:15" ht="15" customHeight="1" x14ac:dyDescent="0.3">
      <c r="A88" s="448">
        <v>10</v>
      </c>
      <c r="B88" s="441">
        <f t="shared" si="41"/>
        <v>2028</v>
      </c>
      <c r="C88" s="421">
        <v>4260</v>
      </c>
      <c r="D88" s="30">
        <f t="shared" si="38"/>
        <v>1554900</v>
      </c>
      <c r="E88" s="423">
        <v>2.2000000000000002</v>
      </c>
      <c r="F88" s="426">
        <f t="shared" si="31"/>
        <v>3420780.0000000005</v>
      </c>
      <c r="G88" s="442">
        <f t="shared" si="42"/>
        <v>306064.02816000005</v>
      </c>
      <c r="H88" s="442">
        <f t="shared" si="43"/>
        <v>55170.339840000001</v>
      </c>
      <c r="I88" s="442">
        <f t="shared" si="44"/>
        <v>24985.377120000001</v>
      </c>
      <c r="J88" s="442">
        <f t="shared" si="39"/>
        <v>386219.74512000004</v>
      </c>
      <c r="K88" s="442">
        <f t="shared" si="35"/>
        <v>196334.53404020314</v>
      </c>
      <c r="M88" s="425">
        <f t="shared" si="40"/>
        <v>155587.43206303637</v>
      </c>
      <c r="N88" s="425">
        <f t="shared" si="36"/>
        <v>28045.80320449582</v>
      </c>
      <c r="O88" s="425">
        <f t="shared" si="37"/>
        <v>12701.298772670974</v>
      </c>
    </row>
    <row r="89" spans="1:15" ht="15" customHeight="1" x14ac:dyDescent="0.3">
      <c r="A89" s="448">
        <v>11</v>
      </c>
      <c r="B89" s="441">
        <f t="shared" si="41"/>
        <v>2029</v>
      </c>
      <c r="C89" s="421">
        <v>4280</v>
      </c>
      <c r="D89" s="30">
        <f t="shared" si="38"/>
        <v>1562200</v>
      </c>
      <c r="E89" s="423">
        <v>2.2000000000000002</v>
      </c>
      <c r="F89" s="426">
        <f t="shared" si="31"/>
        <v>3436840.0000000005</v>
      </c>
      <c r="G89" s="442">
        <f t="shared" si="42"/>
        <v>307500.94848000008</v>
      </c>
      <c r="H89" s="442">
        <f t="shared" si="43"/>
        <v>55429.355520000012</v>
      </c>
      <c r="I89" s="442">
        <f t="shared" si="44"/>
        <v>25102.679360000006</v>
      </c>
      <c r="J89" s="442">
        <f t="shared" si="39"/>
        <v>388032.98336000013</v>
      </c>
      <c r="K89" s="442">
        <f t="shared" si="35"/>
        <v>184351.67515512035</v>
      </c>
      <c r="M89" s="425">
        <f t="shared" si="40"/>
        <v>146091.48550519845</v>
      </c>
      <c r="N89" s="425">
        <f t="shared" si="36"/>
        <v>26334.087515958519</v>
      </c>
      <c r="O89" s="425">
        <f t="shared" si="37"/>
        <v>11926.102133963357</v>
      </c>
    </row>
    <row r="90" spans="1:15" ht="15" customHeight="1" x14ac:dyDescent="0.3">
      <c r="A90" s="448">
        <v>12</v>
      </c>
      <c r="B90" s="441">
        <f t="shared" si="41"/>
        <v>2030</v>
      </c>
      <c r="C90" s="421">
        <v>4300</v>
      </c>
      <c r="D90" s="30">
        <f t="shared" si="38"/>
        <v>1569500</v>
      </c>
      <c r="E90" s="423">
        <v>2.2000000000000002</v>
      </c>
      <c r="F90" s="426">
        <f t="shared" si="31"/>
        <v>3452900.0000000005</v>
      </c>
      <c r="G90" s="442">
        <f t="shared" si="42"/>
        <v>308937.86880000005</v>
      </c>
      <c r="H90" s="442">
        <f t="shared" si="43"/>
        <v>55688.371200000009</v>
      </c>
      <c r="I90" s="442">
        <f t="shared" si="44"/>
        <v>25219.981600000003</v>
      </c>
      <c r="J90" s="442">
        <f t="shared" si="39"/>
        <v>389846.22160000005</v>
      </c>
      <c r="K90" s="442">
        <f t="shared" si="35"/>
        <v>173096.38465521389</v>
      </c>
      <c r="M90" s="425">
        <f t="shared" si="40"/>
        <v>137172.10840954524</v>
      </c>
      <c r="N90" s="425">
        <f t="shared" si="36"/>
        <v>24726.302803437342</v>
      </c>
      <c r="O90" s="425">
        <f t="shared" si="37"/>
        <v>11197.973442231296</v>
      </c>
    </row>
    <row r="91" spans="1:15" ht="15" customHeight="1" x14ac:dyDescent="0.3">
      <c r="A91" s="448">
        <v>13</v>
      </c>
      <c r="B91" s="441">
        <f t="shared" si="41"/>
        <v>2031</v>
      </c>
      <c r="C91" s="421">
        <v>4320</v>
      </c>
      <c r="D91" s="30">
        <f t="shared" si="38"/>
        <v>1576800</v>
      </c>
      <c r="E91" s="423">
        <v>2.2000000000000002</v>
      </c>
      <c r="F91" s="426">
        <f t="shared" si="31"/>
        <v>3468960.0000000005</v>
      </c>
      <c r="G91" s="442">
        <f t="shared" si="42"/>
        <v>310374.78912000009</v>
      </c>
      <c r="H91" s="442">
        <f t="shared" si="43"/>
        <v>55947.38688000002</v>
      </c>
      <c r="I91" s="442">
        <f t="shared" si="44"/>
        <v>25337.283840000004</v>
      </c>
      <c r="J91" s="442">
        <f t="shared" si="39"/>
        <v>391659.45984000008</v>
      </c>
      <c r="K91" s="442">
        <f t="shared" si="35"/>
        <v>162524.75151282852</v>
      </c>
      <c r="M91" s="425">
        <f t="shared" si="40"/>
        <v>128794.50300570212</v>
      </c>
      <c r="N91" s="425">
        <f t="shared" si="36"/>
        <v>23216.176507465621</v>
      </c>
      <c r="O91" s="425">
        <f t="shared" si="37"/>
        <v>10514.071999660768</v>
      </c>
    </row>
    <row r="92" spans="1:15" ht="15" customHeight="1" x14ac:dyDescent="0.3">
      <c r="A92" s="448">
        <v>14</v>
      </c>
      <c r="B92" s="441">
        <f t="shared" si="41"/>
        <v>2032</v>
      </c>
      <c r="C92" s="421">
        <v>4340</v>
      </c>
      <c r="D92" s="30">
        <f t="shared" si="38"/>
        <v>1584100</v>
      </c>
      <c r="E92" s="423">
        <v>2.2000000000000002</v>
      </c>
      <c r="F92" s="426">
        <f t="shared" si="31"/>
        <v>3485020.0000000005</v>
      </c>
      <c r="G92" s="442">
        <f t="shared" si="42"/>
        <v>311811.70944000006</v>
      </c>
      <c r="H92" s="442">
        <f t="shared" si="43"/>
        <v>56206.40256000001</v>
      </c>
      <c r="I92" s="442">
        <f t="shared" si="44"/>
        <v>25454.586080000005</v>
      </c>
      <c r="J92" s="442">
        <f t="shared" si="39"/>
        <v>393472.69808000006</v>
      </c>
      <c r="K92" s="442">
        <f t="shared" si="35"/>
        <v>152595.49618502849</v>
      </c>
      <c r="M92" s="425">
        <f t="shared" si="40"/>
        <v>120925.95687191658</v>
      </c>
      <c r="N92" s="425">
        <f t="shared" si="36"/>
        <v>21797.811968328311</v>
      </c>
      <c r="O92" s="425">
        <f t="shared" si="37"/>
        <v>9871.7273447836051</v>
      </c>
    </row>
    <row r="93" spans="1:15" ht="15" customHeight="1" x14ac:dyDescent="0.3">
      <c r="A93" s="448">
        <v>15</v>
      </c>
      <c r="B93" s="441">
        <f t="shared" si="41"/>
        <v>2033</v>
      </c>
      <c r="C93" s="421">
        <v>4360</v>
      </c>
      <c r="D93" s="30">
        <f t="shared" si="38"/>
        <v>1591400</v>
      </c>
      <c r="E93" s="423">
        <v>2.2000000000000002</v>
      </c>
      <c r="F93" s="426">
        <f t="shared" si="31"/>
        <v>3501080.0000000005</v>
      </c>
      <c r="G93" s="442">
        <f t="shared" si="42"/>
        <v>313248.62975999998</v>
      </c>
      <c r="H93" s="442">
        <f t="shared" si="43"/>
        <v>56465.418239999999</v>
      </c>
      <c r="I93" s="442">
        <f t="shared" si="44"/>
        <v>25571.888320000002</v>
      </c>
      <c r="J93" s="442">
        <f t="shared" si="39"/>
        <v>395285.93631999998</v>
      </c>
      <c r="K93" s="442">
        <f t="shared" si="35"/>
        <v>143269.81423978726</v>
      </c>
      <c r="M93" s="425">
        <f t="shared" si="40"/>
        <v>113535.71901493521</v>
      </c>
      <c r="N93" s="425">
        <f t="shared" si="36"/>
        <v>20465.666088529095</v>
      </c>
      <c r="O93" s="425">
        <f t="shared" si="37"/>
        <v>9268.4291363229477</v>
      </c>
    </row>
    <row r="94" spans="1:15" ht="15" customHeight="1" x14ac:dyDescent="0.3">
      <c r="A94" s="448">
        <v>16</v>
      </c>
      <c r="B94" s="441">
        <f t="shared" si="41"/>
        <v>2034</v>
      </c>
      <c r="C94" s="421">
        <v>4380</v>
      </c>
      <c r="D94" s="30">
        <f t="shared" si="38"/>
        <v>1598700</v>
      </c>
      <c r="E94" s="423">
        <v>2.2000000000000002</v>
      </c>
      <c r="F94" s="426">
        <f t="shared" si="31"/>
        <v>3517140.0000000005</v>
      </c>
      <c r="G94" s="442">
        <f t="shared" si="42"/>
        <v>314685.55008000007</v>
      </c>
      <c r="H94" s="442">
        <f t="shared" si="43"/>
        <v>56724.43392000001</v>
      </c>
      <c r="I94" s="442">
        <f t="shared" si="44"/>
        <v>25689.190560000006</v>
      </c>
      <c r="J94" s="442">
        <f t="shared" si="39"/>
        <v>397099.17456000007</v>
      </c>
      <c r="K94" s="442">
        <f t="shared" si="35"/>
        <v>134511.22917994263</v>
      </c>
      <c r="M94" s="425">
        <f t="shared" si="40"/>
        <v>106594.88323874999</v>
      </c>
      <c r="N94" s="425">
        <f t="shared" si="36"/>
        <v>19214.528309130896</v>
      </c>
      <c r="O94" s="425">
        <f t="shared" si="37"/>
        <v>8701.8176320617604</v>
      </c>
    </row>
    <row r="95" spans="1:15" ht="15" customHeight="1" x14ac:dyDescent="0.3">
      <c r="A95" s="448">
        <v>17</v>
      </c>
      <c r="B95" s="441">
        <f t="shared" si="41"/>
        <v>2035</v>
      </c>
      <c r="C95" s="421">
        <v>4410</v>
      </c>
      <c r="D95" s="30">
        <f t="shared" si="38"/>
        <v>1609650</v>
      </c>
      <c r="E95" s="423">
        <v>2.2000000000000002</v>
      </c>
      <c r="F95" s="426">
        <f t="shared" si="31"/>
        <v>3541230.0000000005</v>
      </c>
      <c r="G95" s="442">
        <f t="shared" si="42"/>
        <v>316840.93056000007</v>
      </c>
      <c r="H95" s="442">
        <f t="shared" si="43"/>
        <v>57112.957440000013</v>
      </c>
      <c r="I95" s="442">
        <f t="shared" si="44"/>
        <v>25865.143920000006</v>
      </c>
      <c r="J95" s="442">
        <f t="shared" si="39"/>
        <v>399819.0319200001</v>
      </c>
      <c r="K95" s="442">
        <f t="shared" si="35"/>
        <v>126572.46632602463</v>
      </c>
      <c r="M95" s="425">
        <f t="shared" si="40"/>
        <v>100303.72446611348</v>
      </c>
      <c r="N95" s="425">
        <f t="shared" si="36"/>
        <v>18080.499689170669</v>
      </c>
      <c r="O95" s="425">
        <f t="shared" si="37"/>
        <v>8188.2421707404865</v>
      </c>
    </row>
    <row r="96" spans="1:15" ht="15" customHeight="1" x14ac:dyDescent="0.3">
      <c r="A96" s="448">
        <v>18</v>
      </c>
      <c r="B96" s="441">
        <f t="shared" si="41"/>
        <v>2036</v>
      </c>
      <c r="C96" s="421">
        <v>4430</v>
      </c>
      <c r="D96" s="30">
        <f t="shared" si="38"/>
        <v>1616950</v>
      </c>
      <c r="E96" s="423">
        <v>2.2000000000000002</v>
      </c>
      <c r="F96" s="426">
        <f t="shared" si="31"/>
        <v>3557290.0000000005</v>
      </c>
      <c r="G96" s="442">
        <f t="shared" si="42"/>
        <v>318277.85088000004</v>
      </c>
      <c r="H96" s="442">
        <f t="shared" si="43"/>
        <v>57371.973120000002</v>
      </c>
      <c r="I96" s="442">
        <f t="shared" si="44"/>
        <v>25982.446160000003</v>
      </c>
      <c r="J96" s="442">
        <f t="shared" si="39"/>
        <v>401632.27016000001</v>
      </c>
      <c r="K96" s="442">
        <f t="shared" si="35"/>
        <v>118828.4963706718</v>
      </c>
      <c r="M96" s="425">
        <f t="shared" si="40"/>
        <v>94166.931439778462</v>
      </c>
      <c r="N96" s="425">
        <f t="shared" si="36"/>
        <v>16974.296654380665</v>
      </c>
      <c r="O96" s="425">
        <f t="shared" si="37"/>
        <v>7687.2682765126729</v>
      </c>
    </row>
    <row r="97" spans="1:15" ht="15" customHeight="1" x14ac:dyDescent="0.3">
      <c r="A97" s="448">
        <v>19</v>
      </c>
      <c r="B97" s="441">
        <f t="shared" si="41"/>
        <v>2037</v>
      </c>
      <c r="C97" s="421">
        <v>4450</v>
      </c>
      <c r="D97" s="30">
        <f t="shared" si="38"/>
        <v>1624250</v>
      </c>
      <c r="E97" s="423">
        <v>2.2000000000000002</v>
      </c>
      <c r="F97" s="426">
        <f t="shared" si="31"/>
        <v>3573350.0000000005</v>
      </c>
      <c r="G97" s="442">
        <f t="shared" si="42"/>
        <v>319714.77120000008</v>
      </c>
      <c r="H97" s="442">
        <f t="shared" si="43"/>
        <v>57630.988800000006</v>
      </c>
      <c r="I97" s="442">
        <f t="shared" si="44"/>
        <v>26099.7484</v>
      </c>
      <c r="J97" s="442">
        <f t="shared" si="39"/>
        <v>403445.50840000005</v>
      </c>
      <c r="K97" s="442">
        <f t="shared" si="35"/>
        <v>111556.04498839466</v>
      </c>
      <c r="M97" s="425">
        <f t="shared" si="40"/>
        <v>88403.798423453976</v>
      </c>
      <c r="N97" s="425">
        <f t="shared" si="36"/>
        <v>15935.448642854362</v>
      </c>
      <c r="O97" s="425">
        <f t="shared" si="37"/>
        <v>7216.7979220863253</v>
      </c>
    </row>
    <row r="98" spans="1:15" ht="15" customHeight="1" x14ac:dyDescent="0.3">
      <c r="A98" s="448">
        <v>20</v>
      </c>
      <c r="B98" s="441">
        <f t="shared" si="41"/>
        <v>2038</v>
      </c>
      <c r="C98" s="421">
        <v>4470</v>
      </c>
      <c r="D98" s="30">
        <f t="shared" si="38"/>
        <v>1631550</v>
      </c>
      <c r="E98" s="423">
        <v>2.2000000000000002</v>
      </c>
      <c r="F98" s="426">
        <f t="shared" si="31"/>
        <v>3589410.0000000005</v>
      </c>
      <c r="G98" s="442">
        <f t="shared" si="42"/>
        <v>321151.69152000005</v>
      </c>
      <c r="H98" s="442">
        <f t="shared" si="43"/>
        <v>57890.004480000018</v>
      </c>
      <c r="I98" s="442">
        <f t="shared" si="44"/>
        <v>26217.050640000005</v>
      </c>
      <c r="J98" s="442">
        <f t="shared" si="39"/>
        <v>405258.74664000008</v>
      </c>
      <c r="K98" s="442">
        <f t="shared" si="35"/>
        <v>104726.56118830708</v>
      </c>
      <c r="M98" s="425">
        <f t="shared" si="40"/>
        <v>82991.699874585582</v>
      </c>
      <c r="N98" s="425">
        <f t="shared" si="36"/>
        <v>14959.877230611995</v>
      </c>
      <c r="O98" s="425">
        <f t="shared" si="37"/>
        <v>6774.9840831094998</v>
      </c>
    </row>
    <row r="99" spans="1:15" ht="15" customHeight="1" x14ac:dyDescent="0.3">
      <c r="A99" s="448">
        <v>21</v>
      </c>
      <c r="B99" s="441">
        <f t="shared" si="41"/>
        <v>2039</v>
      </c>
      <c r="C99" s="421">
        <v>4490</v>
      </c>
      <c r="D99" s="30">
        <f t="shared" si="38"/>
        <v>1638850</v>
      </c>
      <c r="E99" s="423">
        <v>2.2000000000000002</v>
      </c>
      <c r="F99" s="426">
        <f t="shared" si="31"/>
        <v>3605470.0000000005</v>
      </c>
      <c r="G99" s="442">
        <f t="shared" si="42"/>
        <v>322588.61184000003</v>
      </c>
      <c r="H99" s="442">
        <f t="shared" si="43"/>
        <v>58149.02016</v>
      </c>
      <c r="I99" s="442">
        <f t="shared" si="44"/>
        <v>26334.352880000002</v>
      </c>
      <c r="J99" s="442">
        <f t="shared" si="39"/>
        <v>407071.98488000006</v>
      </c>
      <c r="K99" s="442">
        <f t="shared" si="35"/>
        <v>98313.211594534441</v>
      </c>
      <c r="M99" s="425">
        <f t="shared" si="40"/>
        <v>77909.371393273788</v>
      </c>
      <c r="N99" s="425">
        <f t="shared" si="36"/>
        <v>14043.749349860511</v>
      </c>
      <c r="O99" s="425">
        <f t="shared" si="37"/>
        <v>6360.090851400123</v>
      </c>
    </row>
    <row r="100" spans="1:15" ht="15" customHeight="1" x14ac:dyDescent="0.3">
      <c r="A100" s="448">
        <v>22</v>
      </c>
      <c r="B100" s="441">
        <f t="shared" si="41"/>
        <v>2040</v>
      </c>
      <c r="C100" s="421">
        <v>4510</v>
      </c>
      <c r="D100" s="30">
        <f t="shared" si="38"/>
        <v>1646150</v>
      </c>
      <c r="E100" s="423">
        <v>2.2000000000000002</v>
      </c>
      <c r="F100" s="426">
        <f t="shared" si="31"/>
        <v>3621530.0000000005</v>
      </c>
      <c r="G100" s="442">
        <f t="shared" si="42"/>
        <v>324025.53216000006</v>
      </c>
      <c r="H100" s="442">
        <f t="shared" si="43"/>
        <v>58408.035840000011</v>
      </c>
      <c r="I100" s="442">
        <f t="shared" si="44"/>
        <v>26451.655120000003</v>
      </c>
      <c r="J100" s="442">
        <f t="shared" si="39"/>
        <v>408885.2231200001</v>
      </c>
      <c r="K100" s="442">
        <f t="shared" si="35"/>
        <v>92290.777905490992</v>
      </c>
      <c r="M100" s="425">
        <f t="shared" si="40"/>
        <v>73136.82846276561</v>
      </c>
      <c r="N100" s="425">
        <f t="shared" si="36"/>
        <v>13183.462641356893</v>
      </c>
      <c r="O100" s="425">
        <f t="shared" si="37"/>
        <v>5970.4868013684736</v>
      </c>
    </row>
    <row r="101" spans="1:15" ht="15" customHeight="1" x14ac:dyDescent="0.3">
      <c r="A101" s="448">
        <v>23</v>
      </c>
      <c r="B101" s="441">
        <f t="shared" si="41"/>
        <v>2041</v>
      </c>
      <c r="C101" s="421">
        <v>4530</v>
      </c>
      <c r="D101" s="30">
        <f t="shared" si="38"/>
        <v>1653450</v>
      </c>
      <c r="E101" s="423">
        <v>2.2000000000000002</v>
      </c>
      <c r="F101" s="426">
        <f t="shared" si="31"/>
        <v>3637590.0000000005</v>
      </c>
      <c r="G101" s="442">
        <f t="shared" si="42"/>
        <v>325462.45248000004</v>
      </c>
      <c r="H101" s="442">
        <f t="shared" si="43"/>
        <v>58667.051519999994</v>
      </c>
      <c r="I101" s="442">
        <f t="shared" si="44"/>
        <v>26568.95736</v>
      </c>
      <c r="J101" s="442">
        <f t="shared" si="39"/>
        <v>410698.46136000002</v>
      </c>
      <c r="K101" s="442">
        <f t="shared" si="35"/>
        <v>86635.560418566034</v>
      </c>
      <c r="M101" s="425">
        <f t="shared" si="40"/>
        <v>68655.289996545209</v>
      </c>
      <c r="N101" s="425">
        <f t="shared" si="36"/>
        <v>12375.631673196987</v>
      </c>
      <c r="O101" s="425">
        <f t="shared" si="37"/>
        <v>5604.6387488238352</v>
      </c>
    </row>
    <row r="102" spans="1:15" ht="15" customHeight="1" x14ac:dyDescent="0.3">
      <c r="A102" s="448">
        <v>24</v>
      </c>
      <c r="B102" s="441">
        <f t="shared" si="41"/>
        <v>2042</v>
      </c>
      <c r="C102" s="421">
        <v>4550</v>
      </c>
      <c r="D102" s="30">
        <f t="shared" si="38"/>
        <v>1660750</v>
      </c>
      <c r="E102" s="423">
        <v>2.2000000000000002</v>
      </c>
      <c r="F102" s="426">
        <f t="shared" si="31"/>
        <v>3653650.0000000005</v>
      </c>
      <c r="G102" s="442">
        <f t="shared" si="42"/>
        <v>326899.37280000007</v>
      </c>
      <c r="H102" s="442">
        <f t="shared" si="43"/>
        <v>58926.067200000005</v>
      </c>
      <c r="I102" s="442">
        <f t="shared" si="44"/>
        <v>26686.259600000001</v>
      </c>
      <c r="J102" s="442">
        <f t="shared" si="39"/>
        <v>412511.69960000005</v>
      </c>
      <c r="K102" s="442">
        <f t="shared" si="35"/>
        <v>81325.287265473264</v>
      </c>
      <c r="M102" s="425">
        <f t="shared" si="40"/>
        <v>64447.106410901513</v>
      </c>
      <c r="N102" s="425">
        <f t="shared" si="36"/>
        <v>11617.074975355636</v>
      </c>
      <c r="O102" s="425">
        <f t="shared" si="37"/>
        <v>5261.1058792161184</v>
      </c>
    </row>
    <row r="103" spans="1:15" ht="15" customHeight="1" x14ac:dyDescent="0.3">
      <c r="A103" s="448">
        <v>25</v>
      </c>
      <c r="B103" s="441">
        <f t="shared" si="41"/>
        <v>2043</v>
      </c>
      <c r="C103" s="421">
        <v>4570</v>
      </c>
      <c r="D103" s="30">
        <f t="shared" si="38"/>
        <v>1668050</v>
      </c>
      <c r="E103" s="423">
        <v>2.2000000000000002</v>
      </c>
      <c r="F103" s="426">
        <f t="shared" si="31"/>
        <v>3669710.0000000005</v>
      </c>
      <c r="G103" s="442">
        <f t="shared" si="42"/>
        <v>328336.29312000005</v>
      </c>
      <c r="H103" s="442">
        <f t="shared" si="43"/>
        <v>59185.082880000009</v>
      </c>
      <c r="I103" s="442">
        <f t="shared" si="44"/>
        <v>26803.561840000006</v>
      </c>
      <c r="J103" s="442">
        <f t="shared" si="39"/>
        <v>414324.93784000003</v>
      </c>
      <c r="K103" s="442">
        <f t="shared" si="35"/>
        <v>76339.029023973038</v>
      </c>
      <c r="M103" s="425">
        <f t="shared" si="40"/>
        <v>60495.691958060976</v>
      </c>
      <c r="N103" s="425">
        <f t="shared" si="36"/>
        <v>10904.802842225585</v>
      </c>
      <c r="O103" s="425">
        <f t="shared" si="37"/>
        <v>4938.5342236864872</v>
      </c>
    </row>
    <row r="104" spans="1:15" ht="15" customHeight="1" x14ac:dyDescent="0.3">
      <c r="A104" s="448">
        <v>26</v>
      </c>
      <c r="B104" s="441">
        <f t="shared" si="41"/>
        <v>2044</v>
      </c>
      <c r="C104" s="421">
        <v>4590</v>
      </c>
      <c r="D104" s="30">
        <f t="shared" si="38"/>
        <v>1675350</v>
      </c>
      <c r="E104" s="423">
        <v>2.2000000000000002</v>
      </c>
      <c r="F104" s="426">
        <f t="shared" si="31"/>
        <v>3685770.0000000005</v>
      </c>
      <c r="G104" s="442">
        <f t="shared" si="42"/>
        <v>329773.21344000008</v>
      </c>
      <c r="H104" s="442">
        <f t="shared" si="43"/>
        <v>59444.098560000006</v>
      </c>
      <c r="I104" s="442">
        <f t="shared" si="44"/>
        <v>26920.864080000007</v>
      </c>
      <c r="J104" s="442">
        <f t="shared" si="39"/>
        <v>416138.17608000012</v>
      </c>
      <c r="K104" s="442">
        <f t="shared" si="35"/>
        <v>71657.118390976582</v>
      </c>
      <c r="M104" s="425">
        <f t="shared" si="40"/>
        <v>56785.461070267273</v>
      </c>
      <c r="N104" s="425">
        <f t="shared" si="36"/>
        <v>10236.005858159764</v>
      </c>
      <c r="O104" s="425">
        <f t="shared" si="37"/>
        <v>4635.6514625495365</v>
      </c>
    </row>
    <row r="105" spans="1:15" ht="15" customHeight="1" x14ac:dyDescent="0.3">
      <c r="A105" s="448">
        <v>27</v>
      </c>
      <c r="B105" s="441">
        <f t="shared" si="41"/>
        <v>2045</v>
      </c>
      <c r="C105" s="421">
        <v>4610</v>
      </c>
      <c r="D105" s="30">
        <f t="shared" si="38"/>
        <v>1682650</v>
      </c>
      <c r="E105" s="423">
        <v>2.2000000000000002</v>
      </c>
      <c r="F105" s="426">
        <f t="shared" si="31"/>
        <v>3701830.0000000005</v>
      </c>
      <c r="G105" s="442">
        <f t="shared" si="42"/>
        <v>331210.13376000006</v>
      </c>
      <c r="H105" s="442">
        <f t="shared" si="43"/>
        <v>59703.114240000003</v>
      </c>
      <c r="I105" s="442">
        <f t="shared" si="44"/>
        <v>27038.166320000004</v>
      </c>
      <c r="J105" s="442">
        <f t="shared" si="39"/>
        <v>417951.4143200001</v>
      </c>
      <c r="K105" s="442">
        <f t="shared" si="35"/>
        <v>67261.074620243511</v>
      </c>
      <c r="M105" s="425">
        <f t="shared" si="40"/>
        <v>53301.768479614781</v>
      </c>
      <c r="N105" s="425">
        <f t="shared" si="36"/>
        <v>9608.044103621547</v>
      </c>
      <c r="O105" s="425">
        <f t="shared" si="37"/>
        <v>4351.2620370071791</v>
      </c>
    </row>
    <row r="106" spans="1:15" ht="15" customHeight="1" x14ac:dyDescent="0.3">
      <c r="A106" s="448">
        <v>28</v>
      </c>
      <c r="B106" s="441">
        <f t="shared" si="41"/>
        <v>2046</v>
      </c>
      <c r="C106" s="421">
        <v>4630</v>
      </c>
      <c r="D106" s="30">
        <f t="shared" si="38"/>
        <v>1689950</v>
      </c>
      <c r="E106" s="423">
        <v>2.2000000000000002</v>
      </c>
      <c r="F106" s="426">
        <f t="shared" si="31"/>
        <v>3717890.0000000005</v>
      </c>
      <c r="G106" s="442">
        <f t="shared" si="42"/>
        <v>332647.05408000009</v>
      </c>
      <c r="H106" s="442">
        <f t="shared" si="43"/>
        <v>59962.129920000014</v>
      </c>
      <c r="I106" s="442">
        <f t="shared" si="44"/>
        <v>27155.468560000005</v>
      </c>
      <c r="J106" s="442">
        <f t="shared" si="39"/>
        <v>419764.65256000013</v>
      </c>
      <c r="K106" s="442">
        <f t="shared" si="35"/>
        <v>63133.532445055956</v>
      </c>
      <c r="M106" s="425">
        <f t="shared" si="40"/>
        <v>50030.852892050294</v>
      </c>
      <c r="N106" s="425">
        <f t="shared" si="36"/>
        <v>9018.4370020004826</v>
      </c>
      <c r="O106" s="425">
        <f t="shared" si="37"/>
        <v>4084.2425510051785</v>
      </c>
    </row>
    <row r="107" spans="1:15" ht="15" customHeight="1" x14ac:dyDescent="0.3">
      <c r="A107" s="443">
        <v>29</v>
      </c>
      <c r="B107" s="441">
        <f t="shared" si="41"/>
        <v>2047</v>
      </c>
      <c r="C107" s="421">
        <v>4650</v>
      </c>
      <c r="D107" s="30">
        <f t="shared" si="38"/>
        <v>1697250</v>
      </c>
      <c r="E107" s="423">
        <v>2.2000000000000002</v>
      </c>
      <c r="F107" s="444">
        <f t="shared" si="31"/>
        <v>3733950.0000000005</v>
      </c>
      <c r="G107" s="442">
        <f t="shared" si="42"/>
        <v>334083.97440000006</v>
      </c>
      <c r="H107" s="442">
        <f t="shared" si="43"/>
        <v>60221.145600000018</v>
      </c>
      <c r="I107" s="442">
        <f t="shared" si="44"/>
        <v>27272.770800000002</v>
      </c>
      <c r="J107" s="442">
        <f t="shared" si="39"/>
        <v>421577.89080000011</v>
      </c>
      <c r="K107" s="442">
        <f t="shared" si="35"/>
        <v>59258.175222444072</v>
      </c>
      <c r="M107" s="425">
        <f t="shared" si="40"/>
        <v>46959.784006789094</v>
      </c>
      <c r="N107" s="425">
        <f t="shared" si="36"/>
        <v>8464.8537694641291</v>
      </c>
      <c r="O107" s="425">
        <f t="shared" si="37"/>
        <v>3833.5374461908473</v>
      </c>
    </row>
    <row r="108" spans="1:15" ht="15" customHeight="1" x14ac:dyDescent="0.3">
      <c r="A108" s="448">
        <f>1+A107</f>
        <v>30</v>
      </c>
      <c r="B108" s="441">
        <f t="shared" si="41"/>
        <v>2048</v>
      </c>
      <c r="C108" s="421">
        <v>4670</v>
      </c>
      <c r="D108" s="30">
        <f t="shared" si="38"/>
        <v>1704550</v>
      </c>
      <c r="E108" s="423">
        <v>2.2000000000000002</v>
      </c>
      <c r="F108" s="426">
        <f t="shared" si="31"/>
        <v>3750010.0000000005</v>
      </c>
      <c r="G108" s="442">
        <f t="shared" si="42"/>
        <v>335520.89472000004</v>
      </c>
      <c r="H108" s="442">
        <f t="shared" si="43"/>
        <v>60480.16128</v>
      </c>
      <c r="I108" s="442">
        <f t="shared" si="44"/>
        <v>27390.073039999999</v>
      </c>
      <c r="J108" s="442">
        <f t="shared" si="39"/>
        <v>423391.12904000003</v>
      </c>
      <c r="K108" s="442">
        <f t="shared" si="35"/>
        <v>55619.672050811736</v>
      </c>
      <c r="M108" s="425">
        <f t="shared" si="40"/>
        <v>44076.412684495037</v>
      </c>
      <c r="N108" s="425">
        <f t="shared" si="36"/>
        <v>7945.104432398246</v>
      </c>
      <c r="O108" s="425">
        <f t="shared" si="37"/>
        <v>3598.1549339184517</v>
      </c>
    </row>
    <row r="109" spans="1:15" ht="15" customHeight="1" x14ac:dyDescent="0.3">
      <c r="A109" s="443">
        <f>1+A108</f>
        <v>31</v>
      </c>
      <c r="B109" s="441">
        <f t="shared" si="41"/>
        <v>2049</v>
      </c>
      <c r="C109" s="421">
        <v>4670</v>
      </c>
      <c r="D109" s="30">
        <f t="shared" si="38"/>
        <v>1704550</v>
      </c>
      <c r="E109" s="423">
        <v>2.2000000000000002</v>
      </c>
      <c r="F109" s="444">
        <f t="shared" si="31"/>
        <v>3750010.0000000005</v>
      </c>
      <c r="G109" s="442">
        <f t="shared" si="42"/>
        <v>335520.89472000004</v>
      </c>
      <c r="H109" s="442">
        <f t="shared" si="43"/>
        <v>60480.16128</v>
      </c>
      <c r="I109" s="442">
        <f t="shared" si="44"/>
        <v>27390.073039999999</v>
      </c>
      <c r="J109" s="442">
        <f t="shared" si="39"/>
        <v>423391.12904000003</v>
      </c>
      <c r="K109" s="442">
        <f t="shared" si="35"/>
        <v>51981.00191664647</v>
      </c>
      <c r="M109" s="425">
        <f t="shared" si="40"/>
        <v>41192.909050929935</v>
      </c>
      <c r="N109" s="425">
        <f t="shared" si="36"/>
        <v>7425.3312452320042</v>
      </c>
      <c r="O109" s="425">
        <f t="shared" si="37"/>
        <v>3362.7616204845335</v>
      </c>
    </row>
    <row r="110" spans="1:15" ht="15" customHeight="1" x14ac:dyDescent="0.3">
      <c r="A110" s="576" t="s">
        <v>11</v>
      </c>
      <c r="B110" s="577"/>
      <c r="C110" s="577"/>
      <c r="D110" s="577"/>
      <c r="E110" s="577"/>
      <c r="F110" s="577"/>
      <c r="G110" s="577"/>
      <c r="H110" s="577"/>
      <c r="I110" s="577"/>
      <c r="J110" s="578"/>
      <c r="K110" s="445">
        <f>SUM(K78:K107)</f>
        <v>2973476.322029402</v>
      </c>
      <c r="M110" s="432">
        <f>SUM(M78:M107)</f>
        <v>2356363.5786563344</v>
      </c>
      <c r="N110" s="432">
        <f>SUM(N78:N107)</f>
        <v>424752.23306251504</v>
      </c>
      <c r="O110" s="432">
        <f>SUM(O78:O107)</f>
        <v>192360.51031055368</v>
      </c>
    </row>
    <row r="112" spans="1:15" ht="15" customHeight="1" x14ac:dyDescent="0.25">
      <c r="A112" s="573" t="s">
        <v>177</v>
      </c>
      <c r="B112" s="574"/>
      <c r="C112" s="574"/>
      <c r="D112" s="574"/>
      <c r="E112" s="574"/>
      <c r="F112" s="574"/>
      <c r="G112" s="574"/>
      <c r="H112" s="574"/>
      <c r="I112" s="574"/>
      <c r="J112" s="574"/>
      <c r="K112" s="575"/>
      <c r="M112" s="191"/>
      <c r="N112" s="191"/>
      <c r="O112" s="191"/>
    </row>
    <row r="113" spans="1:15" ht="15" customHeight="1" x14ac:dyDescent="0.3">
      <c r="A113" s="438" t="s">
        <v>145</v>
      </c>
      <c r="B113" s="438" t="s">
        <v>146</v>
      </c>
      <c r="C113" s="438" t="s">
        <v>147</v>
      </c>
      <c r="D113" s="438" t="s">
        <v>148</v>
      </c>
      <c r="E113" s="438" t="s">
        <v>149</v>
      </c>
      <c r="F113" s="438" t="s">
        <v>150</v>
      </c>
      <c r="G113" s="438" t="s">
        <v>155</v>
      </c>
      <c r="H113" s="438" t="s">
        <v>88</v>
      </c>
      <c r="I113" s="438" t="s">
        <v>156</v>
      </c>
      <c r="J113" s="438" t="s">
        <v>157</v>
      </c>
      <c r="K113" s="438" t="s">
        <v>158</v>
      </c>
      <c r="M113" s="415" t="s">
        <v>160</v>
      </c>
      <c r="N113" s="415" t="s">
        <v>160</v>
      </c>
      <c r="O113" s="415" t="s">
        <v>160</v>
      </c>
    </row>
    <row r="114" spans="1:15" ht="15" customHeight="1" x14ac:dyDescent="0.3">
      <c r="A114" s="446" t="s">
        <v>29</v>
      </c>
      <c r="B114" s="446" t="s">
        <v>30</v>
      </c>
      <c r="C114" s="446" t="s">
        <v>181</v>
      </c>
      <c r="D114" s="446" t="s">
        <v>182</v>
      </c>
      <c r="E114" s="446" t="s">
        <v>183</v>
      </c>
      <c r="F114" s="446" t="s">
        <v>184</v>
      </c>
      <c r="G114" s="446" t="s">
        <v>185</v>
      </c>
      <c r="H114" s="446" t="s">
        <v>186</v>
      </c>
      <c r="I114" s="446" t="s">
        <v>187</v>
      </c>
      <c r="J114" s="446" t="s">
        <v>188</v>
      </c>
      <c r="K114" s="447" t="s">
        <v>32</v>
      </c>
      <c r="M114" s="417" t="s">
        <v>189</v>
      </c>
      <c r="N114" s="417" t="s">
        <v>190</v>
      </c>
      <c r="O114" s="417" t="s">
        <v>191</v>
      </c>
    </row>
    <row r="115" spans="1:15" ht="15" customHeight="1" x14ac:dyDescent="0.3">
      <c r="A115" s="448">
        <v>0</v>
      </c>
      <c r="B115" s="441">
        <v>2018</v>
      </c>
      <c r="C115" s="421">
        <v>4060</v>
      </c>
      <c r="D115" s="30">
        <f>C115*365</f>
        <v>1481900</v>
      </c>
      <c r="E115" s="423">
        <v>0</v>
      </c>
      <c r="F115" s="426">
        <f t="shared" ref="F115:F146" si="45">D115*E115</f>
        <v>0</v>
      </c>
      <c r="G115" s="442">
        <f t="shared" ref="G115:G121" si="46">(F115)/100000000*9600000*0.932</f>
        <v>0</v>
      </c>
      <c r="H115" s="442">
        <f t="shared" ref="H115:H121" si="47">(F115)/100000000*9600000*0.003*56</f>
        <v>0</v>
      </c>
      <c r="I115" s="442">
        <f t="shared" ref="I115:I121" si="48">(F115)/100000000*166*4400</f>
        <v>0</v>
      </c>
      <c r="J115" s="442">
        <f>G115+H115+I115</f>
        <v>0</v>
      </c>
      <c r="K115" s="442">
        <f t="shared" ref="K115:K146" si="49">J115/(1+0.07)^A115</f>
        <v>0</v>
      </c>
      <c r="M115" s="425">
        <f>G115/(1+0.07)^$A115</f>
        <v>0</v>
      </c>
      <c r="N115" s="425">
        <f t="shared" ref="N115:N146" si="50">H115/(1+0.07)^$A115</f>
        <v>0</v>
      </c>
      <c r="O115" s="425">
        <f t="shared" ref="O115:O146" si="51">I115/(1+0.07)^$A115</f>
        <v>0</v>
      </c>
    </row>
    <row r="116" spans="1:15" ht="15" customHeight="1" x14ac:dyDescent="0.3">
      <c r="A116" s="448">
        <v>1</v>
      </c>
      <c r="B116" s="441">
        <f>1+B115</f>
        <v>2019</v>
      </c>
      <c r="C116" s="421">
        <v>4080</v>
      </c>
      <c r="D116" s="30">
        <f t="shared" ref="D116:D146" si="52">C116*365</f>
        <v>1489200</v>
      </c>
      <c r="E116" s="423">
        <v>0</v>
      </c>
      <c r="F116" s="426">
        <f t="shared" si="45"/>
        <v>0</v>
      </c>
      <c r="G116" s="442">
        <f t="shared" si="46"/>
        <v>0</v>
      </c>
      <c r="H116" s="442">
        <f t="shared" si="47"/>
        <v>0</v>
      </c>
      <c r="I116" s="442">
        <f t="shared" si="48"/>
        <v>0</v>
      </c>
      <c r="J116" s="442">
        <f t="shared" ref="J116:J146" si="53">G116+H116+I116</f>
        <v>0</v>
      </c>
      <c r="K116" s="442">
        <f t="shared" si="49"/>
        <v>0</v>
      </c>
      <c r="M116" s="425">
        <f t="shared" ref="M116:M146" si="54">G116/(1+0.07)^$A116</f>
        <v>0</v>
      </c>
      <c r="N116" s="425">
        <f t="shared" si="50"/>
        <v>0</v>
      </c>
      <c r="O116" s="425">
        <f t="shared" si="51"/>
        <v>0</v>
      </c>
    </row>
    <row r="117" spans="1:15" ht="15" customHeight="1" x14ac:dyDescent="0.3">
      <c r="A117" s="448">
        <v>2</v>
      </c>
      <c r="B117" s="441">
        <f t="shared" ref="B117:B146" si="55">1+B116</f>
        <v>2020</v>
      </c>
      <c r="C117" s="421">
        <v>4100</v>
      </c>
      <c r="D117" s="30">
        <f t="shared" si="52"/>
        <v>1496500</v>
      </c>
      <c r="E117" s="423">
        <v>0</v>
      </c>
      <c r="F117" s="426">
        <f t="shared" si="45"/>
        <v>0</v>
      </c>
      <c r="G117" s="442">
        <f t="shared" si="46"/>
        <v>0</v>
      </c>
      <c r="H117" s="442">
        <f t="shared" si="47"/>
        <v>0</v>
      </c>
      <c r="I117" s="442">
        <f t="shared" si="48"/>
        <v>0</v>
      </c>
      <c r="J117" s="442">
        <f t="shared" si="53"/>
        <v>0</v>
      </c>
      <c r="K117" s="442">
        <f t="shared" si="49"/>
        <v>0</v>
      </c>
      <c r="M117" s="425">
        <f t="shared" si="54"/>
        <v>0</v>
      </c>
      <c r="N117" s="425">
        <f t="shared" si="50"/>
        <v>0</v>
      </c>
      <c r="O117" s="425">
        <f t="shared" si="51"/>
        <v>0</v>
      </c>
    </row>
    <row r="118" spans="1:15" ht="15" customHeight="1" x14ac:dyDescent="0.3">
      <c r="A118" s="448">
        <v>3</v>
      </c>
      <c r="B118" s="441">
        <f t="shared" si="55"/>
        <v>2021</v>
      </c>
      <c r="C118" s="421">
        <v>4120</v>
      </c>
      <c r="D118" s="30">
        <f t="shared" si="52"/>
        <v>1503800</v>
      </c>
      <c r="E118" s="423">
        <v>0</v>
      </c>
      <c r="F118" s="426">
        <f t="shared" si="45"/>
        <v>0</v>
      </c>
      <c r="G118" s="442">
        <f t="shared" si="46"/>
        <v>0</v>
      </c>
      <c r="H118" s="442">
        <f t="shared" si="47"/>
        <v>0</v>
      </c>
      <c r="I118" s="442">
        <f t="shared" si="48"/>
        <v>0</v>
      </c>
      <c r="J118" s="442">
        <f t="shared" si="53"/>
        <v>0</v>
      </c>
      <c r="K118" s="442">
        <f t="shared" si="49"/>
        <v>0</v>
      </c>
      <c r="M118" s="425">
        <f t="shared" si="54"/>
        <v>0</v>
      </c>
      <c r="N118" s="425">
        <f t="shared" si="50"/>
        <v>0</v>
      </c>
      <c r="O118" s="425">
        <f t="shared" si="51"/>
        <v>0</v>
      </c>
    </row>
    <row r="119" spans="1:15" ht="15" customHeight="1" x14ac:dyDescent="0.3">
      <c r="A119" s="448">
        <v>4</v>
      </c>
      <c r="B119" s="441">
        <f t="shared" si="55"/>
        <v>2022</v>
      </c>
      <c r="C119" s="421">
        <v>4140</v>
      </c>
      <c r="D119" s="30">
        <f t="shared" si="52"/>
        <v>1511100</v>
      </c>
      <c r="E119" s="423">
        <v>0</v>
      </c>
      <c r="F119" s="426">
        <f t="shared" si="45"/>
        <v>0</v>
      </c>
      <c r="G119" s="442">
        <f t="shared" si="46"/>
        <v>0</v>
      </c>
      <c r="H119" s="442">
        <f t="shared" si="47"/>
        <v>0</v>
      </c>
      <c r="I119" s="442">
        <f t="shared" si="48"/>
        <v>0</v>
      </c>
      <c r="J119" s="442">
        <f t="shared" si="53"/>
        <v>0</v>
      </c>
      <c r="K119" s="442">
        <f t="shared" si="49"/>
        <v>0</v>
      </c>
      <c r="M119" s="425">
        <f t="shared" si="54"/>
        <v>0</v>
      </c>
      <c r="N119" s="425">
        <f t="shared" si="50"/>
        <v>0</v>
      </c>
      <c r="O119" s="425">
        <f t="shared" si="51"/>
        <v>0</v>
      </c>
    </row>
    <row r="120" spans="1:15" ht="15" customHeight="1" x14ac:dyDescent="0.3">
      <c r="A120" s="448">
        <v>5</v>
      </c>
      <c r="B120" s="441">
        <f t="shared" si="55"/>
        <v>2023</v>
      </c>
      <c r="C120" s="421">
        <v>4160</v>
      </c>
      <c r="D120" s="30">
        <f t="shared" si="52"/>
        <v>1518400</v>
      </c>
      <c r="E120" s="423">
        <v>0</v>
      </c>
      <c r="F120" s="426">
        <f t="shared" si="45"/>
        <v>0</v>
      </c>
      <c r="G120" s="442">
        <f t="shared" si="46"/>
        <v>0</v>
      </c>
      <c r="H120" s="442">
        <f t="shared" si="47"/>
        <v>0</v>
      </c>
      <c r="I120" s="442">
        <f t="shared" si="48"/>
        <v>0</v>
      </c>
      <c r="J120" s="442">
        <f t="shared" si="53"/>
        <v>0</v>
      </c>
      <c r="K120" s="442">
        <f t="shared" si="49"/>
        <v>0</v>
      </c>
      <c r="M120" s="425">
        <f t="shared" si="54"/>
        <v>0</v>
      </c>
      <c r="N120" s="425">
        <f t="shared" si="50"/>
        <v>0</v>
      </c>
      <c r="O120" s="425">
        <f t="shared" si="51"/>
        <v>0</v>
      </c>
    </row>
    <row r="121" spans="1:15" ht="15" customHeight="1" x14ac:dyDescent="0.3">
      <c r="A121" s="448">
        <v>6</v>
      </c>
      <c r="B121" s="441">
        <f t="shared" si="55"/>
        <v>2024</v>
      </c>
      <c r="C121" s="421">
        <v>4180</v>
      </c>
      <c r="D121" s="30">
        <f t="shared" si="52"/>
        <v>1525700</v>
      </c>
      <c r="E121" s="423">
        <v>0</v>
      </c>
      <c r="F121" s="426">
        <f t="shared" si="45"/>
        <v>0</v>
      </c>
      <c r="G121" s="442">
        <f t="shared" si="46"/>
        <v>0</v>
      </c>
      <c r="H121" s="442">
        <f t="shared" si="47"/>
        <v>0</v>
      </c>
      <c r="I121" s="442">
        <f t="shared" si="48"/>
        <v>0</v>
      </c>
      <c r="J121" s="442">
        <f t="shared" si="53"/>
        <v>0</v>
      </c>
      <c r="K121" s="442">
        <f t="shared" si="49"/>
        <v>0</v>
      </c>
      <c r="M121" s="425">
        <f t="shared" si="54"/>
        <v>0</v>
      </c>
      <c r="N121" s="425">
        <f t="shared" si="50"/>
        <v>0</v>
      </c>
      <c r="O121" s="425">
        <f t="shared" si="51"/>
        <v>0</v>
      </c>
    </row>
    <row r="122" spans="1:15" ht="15" customHeight="1" x14ac:dyDescent="0.3">
      <c r="A122" s="448">
        <v>7</v>
      </c>
      <c r="B122" s="441">
        <f t="shared" si="55"/>
        <v>2025</v>
      </c>
      <c r="C122" s="421">
        <v>4200</v>
      </c>
      <c r="D122" s="30">
        <f t="shared" si="52"/>
        <v>1533000</v>
      </c>
      <c r="E122" s="423">
        <v>1.1000000000000001</v>
      </c>
      <c r="F122" s="426">
        <f t="shared" si="45"/>
        <v>1686300.0000000002</v>
      </c>
      <c r="G122" s="442">
        <f>(F122)/100000000*9600000*0.932</f>
        <v>150876.63360000003</v>
      </c>
      <c r="H122" s="442">
        <f>(F122)/100000000*9600000*0.003*56</f>
        <v>27196.646400000005</v>
      </c>
      <c r="I122" s="442">
        <f>(F122)/100000000*166*4400</f>
        <v>12316.735200000003</v>
      </c>
      <c r="J122" s="442">
        <f t="shared" si="53"/>
        <v>190390.01520000002</v>
      </c>
      <c r="K122" s="442">
        <f t="shared" si="49"/>
        <v>118565.3328232034</v>
      </c>
      <c r="M122" s="425">
        <f t="shared" si="54"/>
        <v>93958.384630816043</v>
      </c>
      <c r="N122" s="425">
        <f t="shared" si="50"/>
        <v>16936.704525726498</v>
      </c>
      <c r="O122" s="425">
        <f t="shared" si="51"/>
        <v>7670.2436666608592</v>
      </c>
    </row>
    <row r="123" spans="1:15" ht="15" customHeight="1" x14ac:dyDescent="0.3">
      <c r="A123" s="448">
        <v>8</v>
      </c>
      <c r="B123" s="441">
        <f t="shared" si="55"/>
        <v>2026</v>
      </c>
      <c r="C123" s="421">
        <v>4220</v>
      </c>
      <c r="D123" s="30">
        <f t="shared" si="52"/>
        <v>1540300</v>
      </c>
      <c r="E123" s="423">
        <v>1.1000000000000001</v>
      </c>
      <c r="F123" s="426">
        <f t="shared" si="45"/>
        <v>1694330.0000000002</v>
      </c>
      <c r="G123" s="442">
        <f t="shared" ref="G123:G146" si="56">(F123)/100000000*9600000*0.932</f>
        <v>151595.09376000002</v>
      </c>
      <c r="H123" s="442">
        <f t="shared" ref="H123:H146" si="57">(F123)/100000000*9600000*0.003*56</f>
        <v>27326.154240000003</v>
      </c>
      <c r="I123" s="442">
        <f t="shared" ref="I123:I146" si="58">(F123)/100000000*166*4400</f>
        <v>12375.386320000001</v>
      </c>
      <c r="J123" s="442">
        <f t="shared" si="53"/>
        <v>191296.63432000001</v>
      </c>
      <c r="K123" s="442">
        <f t="shared" si="49"/>
        <v>111336.38284688881</v>
      </c>
      <c r="M123" s="425">
        <f t="shared" si="54"/>
        <v>88229.724775710652</v>
      </c>
      <c r="N123" s="425">
        <f t="shared" si="50"/>
        <v>15904.07056042853</v>
      </c>
      <c r="O123" s="425">
        <f t="shared" si="51"/>
        <v>7202.5875107496267</v>
      </c>
    </row>
    <row r="124" spans="1:15" ht="15" customHeight="1" x14ac:dyDescent="0.3">
      <c r="A124" s="448">
        <v>9</v>
      </c>
      <c r="B124" s="441">
        <f t="shared" si="55"/>
        <v>2027</v>
      </c>
      <c r="C124" s="421">
        <v>4240</v>
      </c>
      <c r="D124" s="30">
        <f t="shared" si="52"/>
        <v>1547600</v>
      </c>
      <c r="E124" s="423">
        <v>1.1000000000000001</v>
      </c>
      <c r="F124" s="426">
        <f t="shared" si="45"/>
        <v>1702360.0000000002</v>
      </c>
      <c r="G124" s="442">
        <f t="shared" si="56"/>
        <v>152313.55392000003</v>
      </c>
      <c r="H124" s="442">
        <f t="shared" si="57"/>
        <v>27455.662080000006</v>
      </c>
      <c r="I124" s="442">
        <f t="shared" si="58"/>
        <v>12434.037440000002</v>
      </c>
      <c r="J124" s="442">
        <f t="shared" si="53"/>
        <v>192203.25344000006</v>
      </c>
      <c r="K124" s="442">
        <f t="shared" si="49"/>
        <v>104545.83498046875</v>
      </c>
      <c r="M124" s="425">
        <f t="shared" si="54"/>
        <v>82848.48142999805</v>
      </c>
      <c r="N124" s="425">
        <f t="shared" si="50"/>
        <v>14934.061030300076</v>
      </c>
      <c r="O124" s="425">
        <f t="shared" si="51"/>
        <v>6763.2925201706194</v>
      </c>
    </row>
    <row r="125" spans="1:15" ht="15" customHeight="1" x14ac:dyDescent="0.3">
      <c r="A125" s="448">
        <v>10</v>
      </c>
      <c r="B125" s="441">
        <f t="shared" si="55"/>
        <v>2028</v>
      </c>
      <c r="C125" s="421">
        <v>4260</v>
      </c>
      <c r="D125" s="30">
        <f t="shared" si="52"/>
        <v>1554900</v>
      </c>
      <c r="E125" s="423">
        <v>1.1000000000000001</v>
      </c>
      <c r="F125" s="426">
        <f t="shared" si="45"/>
        <v>1710390.0000000002</v>
      </c>
      <c r="G125" s="442">
        <f t="shared" si="56"/>
        <v>153032.01408000002</v>
      </c>
      <c r="H125" s="442">
        <f t="shared" si="57"/>
        <v>27585.16992</v>
      </c>
      <c r="I125" s="442">
        <f t="shared" si="58"/>
        <v>12492.688560000001</v>
      </c>
      <c r="J125" s="442">
        <f t="shared" si="53"/>
        <v>193109.87256000002</v>
      </c>
      <c r="K125" s="442">
        <f t="shared" si="49"/>
        <v>98167.267020101572</v>
      </c>
      <c r="M125" s="425">
        <f t="shared" si="54"/>
        <v>77793.716031518183</v>
      </c>
      <c r="N125" s="425">
        <f t="shared" si="50"/>
        <v>14022.90160224791</v>
      </c>
      <c r="O125" s="425">
        <f t="shared" si="51"/>
        <v>6350.6493863354872</v>
      </c>
    </row>
    <row r="126" spans="1:15" ht="15" customHeight="1" x14ac:dyDescent="0.3">
      <c r="A126" s="448">
        <v>11</v>
      </c>
      <c r="B126" s="441">
        <f t="shared" si="55"/>
        <v>2029</v>
      </c>
      <c r="C126" s="421">
        <v>4280</v>
      </c>
      <c r="D126" s="30">
        <f t="shared" si="52"/>
        <v>1562200</v>
      </c>
      <c r="E126" s="423">
        <v>1.1000000000000001</v>
      </c>
      <c r="F126" s="426">
        <f t="shared" si="45"/>
        <v>1718420.0000000002</v>
      </c>
      <c r="G126" s="442">
        <f t="shared" si="56"/>
        <v>153750.47424000004</v>
      </c>
      <c r="H126" s="442">
        <f t="shared" si="57"/>
        <v>27714.677760000006</v>
      </c>
      <c r="I126" s="442">
        <f t="shared" si="58"/>
        <v>12551.339680000003</v>
      </c>
      <c r="J126" s="442">
        <f t="shared" si="53"/>
        <v>194016.49168000006</v>
      </c>
      <c r="K126" s="442">
        <f t="shared" si="49"/>
        <v>92175.837577560174</v>
      </c>
      <c r="M126" s="425">
        <f t="shared" si="54"/>
        <v>73045.742752599224</v>
      </c>
      <c r="N126" s="425">
        <f t="shared" si="50"/>
        <v>13167.04375797926</v>
      </c>
      <c r="O126" s="425">
        <f t="shared" si="51"/>
        <v>5963.0510669816786</v>
      </c>
    </row>
    <row r="127" spans="1:15" ht="15" customHeight="1" x14ac:dyDescent="0.3">
      <c r="A127" s="448">
        <v>12</v>
      </c>
      <c r="B127" s="441">
        <f t="shared" si="55"/>
        <v>2030</v>
      </c>
      <c r="C127" s="421">
        <v>4300</v>
      </c>
      <c r="D127" s="30">
        <f t="shared" si="52"/>
        <v>1569500</v>
      </c>
      <c r="E127" s="423">
        <v>1.1000000000000001</v>
      </c>
      <c r="F127" s="426">
        <f t="shared" si="45"/>
        <v>1726450.0000000002</v>
      </c>
      <c r="G127" s="442">
        <f t="shared" si="56"/>
        <v>154468.93440000003</v>
      </c>
      <c r="H127" s="442">
        <f t="shared" si="57"/>
        <v>27844.185600000004</v>
      </c>
      <c r="I127" s="442">
        <f t="shared" si="58"/>
        <v>12609.990800000001</v>
      </c>
      <c r="J127" s="442">
        <f t="shared" si="53"/>
        <v>194923.11080000002</v>
      </c>
      <c r="K127" s="442">
        <f t="shared" si="49"/>
        <v>86548.192327606943</v>
      </c>
      <c r="M127" s="425">
        <f t="shared" si="54"/>
        <v>68586.054204772619</v>
      </c>
      <c r="N127" s="425">
        <f t="shared" si="50"/>
        <v>12363.151401718671</v>
      </c>
      <c r="O127" s="425">
        <f t="shared" si="51"/>
        <v>5598.9867211156479</v>
      </c>
    </row>
    <row r="128" spans="1:15" ht="15" customHeight="1" x14ac:dyDescent="0.3">
      <c r="A128" s="448">
        <v>13</v>
      </c>
      <c r="B128" s="441">
        <f t="shared" si="55"/>
        <v>2031</v>
      </c>
      <c r="C128" s="421">
        <v>4320</v>
      </c>
      <c r="D128" s="30">
        <f t="shared" si="52"/>
        <v>1576800</v>
      </c>
      <c r="E128" s="423">
        <v>1.1000000000000001</v>
      </c>
      <c r="F128" s="426">
        <f t="shared" si="45"/>
        <v>1734480.0000000002</v>
      </c>
      <c r="G128" s="442">
        <f t="shared" si="56"/>
        <v>155187.39456000004</v>
      </c>
      <c r="H128" s="442">
        <f t="shared" si="57"/>
        <v>27973.69344000001</v>
      </c>
      <c r="I128" s="442">
        <f t="shared" si="58"/>
        <v>12668.641920000002</v>
      </c>
      <c r="J128" s="442">
        <f t="shared" si="53"/>
        <v>195829.72992000004</v>
      </c>
      <c r="K128" s="442">
        <f t="shared" si="49"/>
        <v>81262.375756414258</v>
      </c>
      <c r="M128" s="425">
        <f t="shared" si="54"/>
        <v>64397.251502851061</v>
      </c>
      <c r="N128" s="425">
        <f t="shared" si="50"/>
        <v>11608.088253732811</v>
      </c>
      <c r="O128" s="425">
        <f t="shared" si="51"/>
        <v>5257.0359998303838</v>
      </c>
    </row>
    <row r="129" spans="1:15" ht="15" customHeight="1" x14ac:dyDescent="0.3">
      <c r="A129" s="448">
        <v>14</v>
      </c>
      <c r="B129" s="441">
        <f t="shared" si="55"/>
        <v>2032</v>
      </c>
      <c r="C129" s="421">
        <v>4340</v>
      </c>
      <c r="D129" s="30">
        <f t="shared" si="52"/>
        <v>1584100</v>
      </c>
      <c r="E129" s="423">
        <v>1.1000000000000001</v>
      </c>
      <c r="F129" s="426">
        <f t="shared" si="45"/>
        <v>1742510.0000000002</v>
      </c>
      <c r="G129" s="442">
        <f t="shared" si="56"/>
        <v>155905.85472000003</v>
      </c>
      <c r="H129" s="442">
        <f t="shared" si="57"/>
        <v>28103.201280000005</v>
      </c>
      <c r="I129" s="442">
        <f t="shared" si="58"/>
        <v>12727.293040000002</v>
      </c>
      <c r="J129" s="442">
        <f t="shared" si="53"/>
        <v>196736.34904000003</v>
      </c>
      <c r="K129" s="442">
        <f t="shared" si="49"/>
        <v>76297.748092514244</v>
      </c>
      <c r="M129" s="425">
        <f t="shared" si="54"/>
        <v>60462.978435958292</v>
      </c>
      <c r="N129" s="425">
        <f t="shared" si="50"/>
        <v>10898.905984164156</v>
      </c>
      <c r="O129" s="425">
        <f t="shared" si="51"/>
        <v>4935.8636723918025</v>
      </c>
    </row>
    <row r="130" spans="1:15" ht="15" customHeight="1" x14ac:dyDescent="0.3">
      <c r="A130" s="448">
        <v>15</v>
      </c>
      <c r="B130" s="441">
        <f t="shared" si="55"/>
        <v>2033</v>
      </c>
      <c r="C130" s="421">
        <v>4360</v>
      </c>
      <c r="D130" s="30">
        <f t="shared" si="52"/>
        <v>1591400</v>
      </c>
      <c r="E130" s="423">
        <v>1.1000000000000001</v>
      </c>
      <c r="F130" s="426">
        <f t="shared" si="45"/>
        <v>1750540.0000000002</v>
      </c>
      <c r="G130" s="442">
        <f t="shared" si="56"/>
        <v>156624.31487999999</v>
      </c>
      <c r="H130" s="442">
        <f t="shared" si="57"/>
        <v>28232.70912</v>
      </c>
      <c r="I130" s="442">
        <f t="shared" si="58"/>
        <v>12785.944160000001</v>
      </c>
      <c r="J130" s="442">
        <f t="shared" si="53"/>
        <v>197642.96815999999</v>
      </c>
      <c r="K130" s="442">
        <f t="shared" si="49"/>
        <v>71634.907119893629</v>
      </c>
      <c r="M130" s="425">
        <f t="shared" si="54"/>
        <v>56767.859507467605</v>
      </c>
      <c r="N130" s="425">
        <f t="shared" si="50"/>
        <v>10232.833044264547</v>
      </c>
      <c r="O130" s="425">
        <f t="shared" si="51"/>
        <v>4634.2145681614738</v>
      </c>
    </row>
    <row r="131" spans="1:15" ht="15" customHeight="1" x14ac:dyDescent="0.3">
      <c r="A131" s="448">
        <v>16</v>
      </c>
      <c r="B131" s="441">
        <f t="shared" si="55"/>
        <v>2034</v>
      </c>
      <c r="C131" s="421">
        <v>4380</v>
      </c>
      <c r="D131" s="30">
        <f t="shared" si="52"/>
        <v>1598700</v>
      </c>
      <c r="E131" s="423">
        <v>1.1000000000000001</v>
      </c>
      <c r="F131" s="426">
        <f t="shared" si="45"/>
        <v>1758570.0000000002</v>
      </c>
      <c r="G131" s="442">
        <f t="shared" si="56"/>
        <v>157342.77504000004</v>
      </c>
      <c r="H131" s="442">
        <f t="shared" si="57"/>
        <v>28362.216960000005</v>
      </c>
      <c r="I131" s="442">
        <f t="shared" si="58"/>
        <v>12844.595280000003</v>
      </c>
      <c r="J131" s="442">
        <f t="shared" si="53"/>
        <v>198549.58728000004</v>
      </c>
      <c r="K131" s="442">
        <f t="shared" si="49"/>
        <v>67255.614589971316</v>
      </c>
      <c r="M131" s="425">
        <f t="shared" si="54"/>
        <v>53297.441619374993</v>
      </c>
      <c r="N131" s="425">
        <f t="shared" si="50"/>
        <v>9607.2641545654478</v>
      </c>
      <c r="O131" s="425">
        <f t="shared" si="51"/>
        <v>4350.9088160308802</v>
      </c>
    </row>
    <row r="132" spans="1:15" ht="15" customHeight="1" x14ac:dyDescent="0.3">
      <c r="A132" s="448">
        <v>17</v>
      </c>
      <c r="B132" s="441">
        <f t="shared" si="55"/>
        <v>2035</v>
      </c>
      <c r="C132" s="421">
        <v>4410</v>
      </c>
      <c r="D132" s="30">
        <f t="shared" si="52"/>
        <v>1609650</v>
      </c>
      <c r="E132" s="423">
        <v>1.1000000000000001</v>
      </c>
      <c r="F132" s="426">
        <f t="shared" si="45"/>
        <v>1770615.0000000002</v>
      </c>
      <c r="G132" s="442">
        <f t="shared" si="56"/>
        <v>158420.46528000003</v>
      </c>
      <c r="H132" s="442">
        <f t="shared" si="57"/>
        <v>28556.478720000006</v>
      </c>
      <c r="I132" s="442">
        <f t="shared" si="58"/>
        <v>12932.571960000003</v>
      </c>
      <c r="J132" s="442">
        <f t="shared" si="53"/>
        <v>199909.51596000005</v>
      </c>
      <c r="K132" s="442">
        <f t="shared" si="49"/>
        <v>63286.233163012315</v>
      </c>
      <c r="M132" s="425">
        <f t="shared" si="54"/>
        <v>50151.862233056738</v>
      </c>
      <c r="N132" s="425">
        <f t="shared" si="50"/>
        <v>9040.2498445853344</v>
      </c>
      <c r="O132" s="425">
        <f t="shared" si="51"/>
        <v>4094.1210853702432</v>
      </c>
    </row>
    <row r="133" spans="1:15" ht="15" customHeight="1" x14ac:dyDescent="0.3">
      <c r="A133" s="448">
        <v>18</v>
      </c>
      <c r="B133" s="441">
        <f t="shared" si="55"/>
        <v>2036</v>
      </c>
      <c r="C133" s="421">
        <v>4430</v>
      </c>
      <c r="D133" s="30">
        <f t="shared" si="52"/>
        <v>1616950</v>
      </c>
      <c r="E133" s="423">
        <v>1.1000000000000001</v>
      </c>
      <c r="F133" s="426">
        <f t="shared" si="45"/>
        <v>1778645.0000000002</v>
      </c>
      <c r="G133" s="442">
        <f t="shared" si="56"/>
        <v>159138.92544000002</v>
      </c>
      <c r="H133" s="442">
        <f t="shared" si="57"/>
        <v>28685.986560000001</v>
      </c>
      <c r="I133" s="442">
        <f t="shared" si="58"/>
        <v>12991.223080000002</v>
      </c>
      <c r="J133" s="442">
        <f t="shared" si="53"/>
        <v>200816.13508000001</v>
      </c>
      <c r="K133" s="442">
        <f t="shared" si="49"/>
        <v>59414.248185335899</v>
      </c>
      <c r="M133" s="425">
        <f t="shared" si="54"/>
        <v>47083.465719889231</v>
      </c>
      <c r="N133" s="425">
        <f t="shared" si="50"/>
        <v>8487.1483271903326</v>
      </c>
      <c r="O133" s="425">
        <f t="shared" si="51"/>
        <v>3843.6341382563364</v>
      </c>
    </row>
    <row r="134" spans="1:15" ht="15" customHeight="1" x14ac:dyDescent="0.3">
      <c r="A134" s="448">
        <v>19</v>
      </c>
      <c r="B134" s="441">
        <f t="shared" si="55"/>
        <v>2037</v>
      </c>
      <c r="C134" s="421">
        <v>4450</v>
      </c>
      <c r="D134" s="30">
        <f t="shared" si="52"/>
        <v>1624250</v>
      </c>
      <c r="E134" s="423">
        <v>1.1000000000000001</v>
      </c>
      <c r="F134" s="426">
        <f t="shared" si="45"/>
        <v>1786675.0000000002</v>
      </c>
      <c r="G134" s="442">
        <f t="shared" si="56"/>
        <v>159857.38560000004</v>
      </c>
      <c r="H134" s="442">
        <f t="shared" si="57"/>
        <v>28815.494400000003</v>
      </c>
      <c r="I134" s="442">
        <f t="shared" si="58"/>
        <v>13049.8742</v>
      </c>
      <c r="J134" s="442">
        <f t="shared" si="53"/>
        <v>201722.75420000002</v>
      </c>
      <c r="K134" s="442">
        <f t="shared" si="49"/>
        <v>55778.022494197328</v>
      </c>
      <c r="M134" s="425">
        <f t="shared" si="54"/>
        <v>44201.899211726988</v>
      </c>
      <c r="N134" s="425">
        <f t="shared" si="50"/>
        <v>7967.7243214271812</v>
      </c>
      <c r="O134" s="425">
        <f t="shared" si="51"/>
        <v>3608.3989610431627</v>
      </c>
    </row>
    <row r="135" spans="1:15" ht="15" customHeight="1" x14ac:dyDescent="0.3">
      <c r="A135" s="448">
        <v>20</v>
      </c>
      <c r="B135" s="441">
        <f t="shared" si="55"/>
        <v>2038</v>
      </c>
      <c r="C135" s="421">
        <v>4470</v>
      </c>
      <c r="D135" s="30">
        <f t="shared" si="52"/>
        <v>1631550</v>
      </c>
      <c r="E135" s="423">
        <v>1.1000000000000001</v>
      </c>
      <c r="F135" s="426">
        <f t="shared" si="45"/>
        <v>1794705.0000000002</v>
      </c>
      <c r="G135" s="442">
        <f t="shared" si="56"/>
        <v>160575.84576000003</v>
      </c>
      <c r="H135" s="442">
        <f t="shared" si="57"/>
        <v>28945.002240000009</v>
      </c>
      <c r="I135" s="442">
        <f t="shared" si="58"/>
        <v>13108.525320000002</v>
      </c>
      <c r="J135" s="442">
        <f t="shared" si="53"/>
        <v>202629.37332000004</v>
      </c>
      <c r="K135" s="442">
        <f t="shared" si="49"/>
        <v>52363.280594153541</v>
      </c>
      <c r="M135" s="425">
        <f t="shared" si="54"/>
        <v>41495.849937292791</v>
      </c>
      <c r="N135" s="425">
        <f t="shared" si="50"/>
        <v>7479.9386153059977</v>
      </c>
      <c r="O135" s="425">
        <f t="shared" si="51"/>
        <v>3387.4920415547499</v>
      </c>
    </row>
    <row r="136" spans="1:15" ht="15" customHeight="1" x14ac:dyDescent="0.3">
      <c r="A136" s="448">
        <v>21</v>
      </c>
      <c r="B136" s="441">
        <f t="shared" si="55"/>
        <v>2039</v>
      </c>
      <c r="C136" s="421">
        <v>4490</v>
      </c>
      <c r="D136" s="30">
        <f t="shared" si="52"/>
        <v>1638850</v>
      </c>
      <c r="E136" s="423">
        <v>1.1000000000000001</v>
      </c>
      <c r="F136" s="426">
        <f t="shared" si="45"/>
        <v>1802735.0000000002</v>
      </c>
      <c r="G136" s="442">
        <f t="shared" si="56"/>
        <v>161294.30592000001</v>
      </c>
      <c r="H136" s="442">
        <f t="shared" si="57"/>
        <v>29074.51008</v>
      </c>
      <c r="I136" s="442">
        <f t="shared" si="58"/>
        <v>13167.176440000001</v>
      </c>
      <c r="J136" s="442">
        <f t="shared" si="53"/>
        <v>203535.99244000003</v>
      </c>
      <c r="K136" s="442">
        <f t="shared" si="49"/>
        <v>49156.605797267221</v>
      </c>
      <c r="M136" s="425">
        <f t="shared" si="54"/>
        <v>38954.685696636894</v>
      </c>
      <c r="N136" s="425">
        <f t="shared" si="50"/>
        <v>7021.8746749302554</v>
      </c>
      <c r="O136" s="425">
        <f t="shared" si="51"/>
        <v>3180.0454257000615</v>
      </c>
    </row>
    <row r="137" spans="1:15" ht="15" customHeight="1" x14ac:dyDescent="0.3">
      <c r="A137" s="448">
        <v>22</v>
      </c>
      <c r="B137" s="441">
        <f t="shared" si="55"/>
        <v>2040</v>
      </c>
      <c r="C137" s="421">
        <v>4510</v>
      </c>
      <c r="D137" s="30">
        <f t="shared" si="52"/>
        <v>1646150</v>
      </c>
      <c r="E137" s="423">
        <v>1.1000000000000001</v>
      </c>
      <c r="F137" s="426">
        <f t="shared" si="45"/>
        <v>1810765.0000000002</v>
      </c>
      <c r="G137" s="442">
        <f t="shared" si="56"/>
        <v>162012.76608000003</v>
      </c>
      <c r="H137" s="442">
        <f t="shared" si="57"/>
        <v>29204.017920000006</v>
      </c>
      <c r="I137" s="442">
        <f t="shared" si="58"/>
        <v>13225.827560000002</v>
      </c>
      <c r="J137" s="442">
        <f t="shared" si="53"/>
        <v>204442.61156000005</v>
      </c>
      <c r="K137" s="442">
        <f t="shared" si="49"/>
        <v>46145.388952745496</v>
      </c>
      <c r="M137" s="425">
        <f t="shared" si="54"/>
        <v>36568.414231382805</v>
      </c>
      <c r="N137" s="425">
        <f t="shared" si="50"/>
        <v>6591.7313206784465</v>
      </c>
      <c r="O137" s="425">
        <f t="shared" si="51"/>
        <v>2985.2434006842368</v>
      </c>
    </row>
    <row r="138" spans="1:15" ht="15" customHeight="1" x14ac:dyDescent="0.3">
      <c r="A138" s="448">
        <v>23</v>
      </c>
      <c r="B138" s="441">
        <f t="shared" si="55"/>
        <v>2041</v>
      </c>
      <c r="C138" s="421">
        <v>4530</v>
      </c>
      <c r="D138" s="30">
        <f t="shared" si="52"/>
        <v>1653450</v>
      </c>
      <c r="E138" s="423">
        <v>1.1000000000000001</v>
      </c>
      <c r="F138" s="426">
        <f t="shared" si="45"/>
        <v>1818795.0000000002</v>
      </c>
      <c r="G138" s="442">
        <f t="shared" si="56"/>
        <v>162731.22624000002</v>
      </c>
      <c r="H138" s="442">
        <f t="shared" si="57"/>
        <v>29333.525759999997</v>
      </c>
      <c r="I138" s="442">
        <f t="shared" si="58"/>
        <v>13284.47868</v>
      </c>
      <c r="J138" s="442">
        <f t="shared" si="53"/>
        <v>205349.23068000001</v>
      </c>
      <c r="K138" s="442">
        <f t="shared" si="49"/>
        <v>43317.780209283017</v>
      </c>
      <c r="M138" s="425">
        <f t="shared" si="54"/>
        <v>34327.644998272604</v>
      </c>
      <c r="N138" s="425">
        <f t="shared" si="50"/>
        <v>6187.8158365984937</v>
      </c>
      <c r="O138" s="425">
        <f t="shared" si="51"/>
        <v>2802.3193744119176</v>
      </c>
    </row>
    <row r="139" spans="1:15" ht="15" customHeight="1" x14ac:dyDescent="0.3">
      <c r="A139" s="448">
        <v>24</v>
      </c>
      <c r="B139" s="441">
        <f t="shared" si="55"/>
        <v>2042</v>
      </c>
      <c r="C139" s="421">
        <v>4550</v>
      </c>
      <c r="D139" s="30">
        <f t="shared" si="52"/>
        <v>1660750</v>
      </c>
      <c r="E139" s="423">
        <v>1.1000000000000001</v>
      </c>
      <c r="F139" s="426">
        <f t="shared" si="45"/>
        <v>1826825.0000000002</v>
      </c>
      <c r="G139" s="442">
        <f t="shared" si="56"/>
        <v>163449.68640000004</v>
      </c>
      <c r="H139" s="442">
        <f t="shared" si="57"/>
        <v>29463.033600000002</v>
      </c>
      <c r="I139" s="442">
        <f t="shared" si="58"/>
        <v>13343.129800000001</v>
      </c>
      <c r="J139" s="442">
        <f t="shared" si="53"/>
        <v>206255.84980000003</v>
      </c>
      <c r="K139" s="442">
        <f t="shared" si="49"/>
        <v>40662.643632736632</v>
      </c>
      <c r="M139" s="425">
        <f t="shared" si="54"/>
        <v>32223.553205450757</v>
      </c>
      <c r="N139" s="425">
        <f t="shared" si="50"/>
        <v>5808.5374876778178</v>
      </c>
      <c r="O139" s="425">
        <f t="shared" si="51"/>
        <v>2630.5529396080592</v>
      </c>
    </row>
    <row r="140" spans="1:15" ht="15" customHeight="1" x14ac:dyDescent="0.3">
      <c r="A140" s="448">
        <v>25</v>
      </c>
      <c r="B140" s="441">
        <f t="shared" si="55"/>
        <v>2043</v>
      </c>
      <c r="C140" s="421">
        <v>4570</v>
      </c>
      <c r="D140" s="30">
        <f t="shared" si="52"/>
        <v>1668050</v>
      </c>
      <c r="E140" s="423">
        <v>1.1000000000000001</v>
      </c>
      <c r="F140" s="426">
        <f t="shared" si="45"/>
        <v>1834855.0000000002</v>
      </c>
      <c r="G140" s="442">
        <f t="shared" si="56"/>
        <v>164168.14656000002</v>
      </c>
      <c r="H140" s="442">
        <f t="shared" si="57"/>
        <v>29592.541440000005</v>
      </c>
      <c r="I140" s="442">
        <f t="shared" si="58"/>
        <v>13401.780920000003</v>
      </c>
      <c r="J140" s="442">
        <f t="shared" si="53"/>
        <v>207162.46892000001</v>
      </c>
      <c r="K140" s="442">
        <f t="shared" si="49"/>
        <v>38169.514511986519</v>
      </c>
      <c r="M140" s="425">
        <f t="shared" si="54"/>
        <v>30247.845979030488</v>
      </c>
      <c r="N140" s="425">
        <f t="shared" si="50"/>
        <v>5452.4014211127924</v>
      </c>
      <c r="O140" s="425">
        <f t="shared" si="51"/>
        <v>2469.2671118432436</v>
      </c>
    </row>
    <row r="141" spans="1:15" ht="15" customHeight="1" x14ac:dyDescent="0.3">
      <c r="A141" s="448">
        <v>26</v>
      </c>
      <c r="B141" s="441">
        <f t="shared" si="55"/>
        <v>2044</v>
      </c>
      <c r="C141" s="421">
        <v>4590</v>
      </c>
      <c r="D141" s="30">
        <f t="shared" si="52"/>
        <v>1675350</v>
      </c>
      <c r="E141" s="423">
        <v>1.1000000000000001</v>
      </c>
      <c r="F141" s="426">
        <f t="shared" si="45"/>
        <v>1842885.0000000002</v>
      </c>
      <c r="G141" s="442">
        <f t="shared" si="56"/>
        <v>164886.60672000004</v>
      </c>
      <c r="H141" s="442">
        <f t="shared" si="57"/>
        <v>29722.049280000003</v>
      </c>
      <c r="I141" s="442">
        <f t="shared" si="58"/>
        <v>13460.432040000003</v>
      </c>
      <c r="J141" s="442">
        <f t="shared" si="53"/>
        <v>208069.08804000006</v>
      </c>
      <c r="K141" s="442">
        <f t="shared" si="49"/>
        <v>35828.559195488291</v>
      </c>
      <c r="M141" s="425">
        <f t="shared" si="54"/>
        <v>28392.730535133636</v>
      </c>
      <c r="N141" s="425">
        <f t="shared" si="50"/>
        <v>5118.0029290798821</v>
      </c>
      <c r="O141" s="425">
        <f t="shared" si="51"/>
        <v>2317.8257312747683</v>
      </c>
    </row>
    <row r="142" spans="1:15" ht="15" customHeight="1" x14ac:dyDescent="0.3">
      <c r="A142" s="448">
        <v>27</v>
      </c>
      <c r="B142" s="441">
        <f t="shared" si="55"/>
        <v>2045</v>
      </c>
      <c r="C142" s="421">
        <v>4610</v>
      </c>
      <c r="D142" s="30">
        <f t="shared" si="52"/>
        <v>1682650</v>
      </c>
      <c r="E142" s="423">
        <v>1.1000000000000001</v>
      </c>
      <c r="F142" s="426">
        <f t="shared" si="45"/>
        <v>1850915.0000000002</v>
      </c>
      <c r="G142" s="442">
        <f t="shared" si="56"/>
        <v>165605.06688000003</v>
      </c>
      <c r="H142" s="442">
        <f t="shared" si="57"/>
        <v>29851.557120000001</v>
      </c>
      <c r="I142" s="442">
        <f t="shared" si="58"/>
        <v>13519.083160000002</v>
      </c>
      <c r="J142" s="442">
        <f t="shared" si="53"/>
        <v>208975.70716000005</v>
      </c>
      <c r="K142" s="442">
        <f t="shared" si="49"/>
        <v>33630.537310121756</v>
      </c>
      <c r="M142" s="425">
        <f t="shared" si="54"/>
        <v>26650.88423980739</v>
      </c>
      <c r="N142" s="425">
        <f t="shared" si="50"/>
        <v>4804.0220518107735</v>
      </c>
      <c r="O142" s="425">
        <f t="shared" si="51"/>
        <v>2175.6310185035895</v>
      </c>
    </row>
    <row r="143" spans="1:15" ht="15" customHeight="1" x14ac:dyDescent="0.3">
      <c r="A143" s="448">
        <v>28</v>
      </c>
      <c r="B143" s="441">
        <f t="shared" si="55"/>
        <v>2046</v>
      </c>
      <c r="C143" s="421">
        <v>4630</v>
      </c>
      <c r="D143" s="30">
        <f t="shared" si="52"/>
        <v>1689950</v>
      </c>
      <c r="E143" s="423">
        <v>1.1000000000000001</v>
      </c>
      <c r="F143" s="426">
        <f t="shared" si="45"/>
        <v>1858945.0000000002</v>
      </c>
      <c r="G143" s="442">
        <f t="shared" si="56"/>
        <v>166323.52704000004</v>
      </c>
      <c r="H143" s="442">
        <f t="shared" si="57"/>
        <v>29981.064960000007</v>
      </c>
      <c r="I143" s="442">
        <f t="shared" si="58"/>
        <v>13577.734280000002</v>
      </c>
      <c r="J143" s="442">
        <f t="shared" si="53"/>
        <v>209882.32628000007</v>
      </c>
      <c r="K143" s="442">
        <f t="shared" si="49"/>
        <v>31566.766222527978</v>
      </c>
      <c r="M143" s="425">
        <f t="shared" si="54"/>
        <v>25015.426446025147</v>
      </c>
      <c r="N143" s="425">
        <f t="shared" si="50"/>
        <v>4509.2185010002413</v>
      </c>
      <c r="O143" s="425">
        <f t="shared" si="51"/>
        <v>2042.1212755025892</v>
      </c>
    </row>
    <row r="144" spans="1:15" ht="15" customHeight="1" x14ac:dyDescent="0.3">
      <c r="A144" s="443">
        <v>29</v>
      </c>
      <c r="B144" s="441">
        <f t="shared" si="55"/>
        <v>2047</v>
      </c>
      <c r="C144" s="421">
        <v>4650</v>
      </c>
      <c r="D144" s="30">
        <f t="shared" si="52"/>
        <v>1697250</v>
      </c>
      <c r="E144" s="423">
        <v>1.1000000000000001</v>
      </c>
      <c r="F144" s="444">
        <f t="shared" si="45"/>
        <v>1866975.0000000002</v>
      </c>
      <c r="G144" s="442">
        <f t="shared" si="56"/>
        <v>167041.98720000003</v>
      </c>
      <c r="H144" s="442">
        <f t="shared" si="57"/>
        <v>30110.572800000009</v>
      </c>
      <c r="I144" s="442">
        <f t="shared" si="58"/>
        <v>13636.385400000001</v>
      </c>
      <c r="J144" s="442">
        <f t="shared" si="53"/>
        <v>210788.94540000006</v>
      </c>
      <c r="K144" s="442">
        <f t="shared" si="49"/>
        <v>29629.087611222036</v>
      </c>
      <c r="M144" s="425">
        <f t="shared" si="54"/>
        <v>23479.892003394547</v>
      </c>
      <c r="N144" s="425">
        <f t="shared" si="50"/>
        <v>4232.4268847320645</v>
      </c>
      <c r="O144" s="425">
        <f t="shared" si="51"/>
        <v>1916.7687230954236</v>
      </c>
    </row>
    <row r="145" spans="1:15" ht="15" customHeight="1" x14ac:dyDescent="0.3">
      <c r="A145" s="448">
        <f>1+A144</f>
        <v>30</v>
      </c>
      <c r="B145" s="441">
        <f t="shared" si="55"/>
        <v>2048</v>
      </c>
      <c r="C145" s="421">
        <v>4670</v>
      </c>
      <c r="D145" s="30">
        <f t="shared" si="52"/>
        <v>1704550</v>
      </c>
      <c r="E145" s="423">
        <v>1.1000000000000001</v>
      </c>
      <c r="F145" s="426">
        <f t="shared" si="45"/>
        <v>1875005.0000000002</v>
      </c>
      <c r="G145" s="442">
        <f t="shared" si="56"/>
        <v>167760.44736000002</v>
      </c>
      <c r="H145" s="442">
        <f t="shared" si="57"/>
        <v>30240.08064</v>
      </c>
      <c r="I145" s="442">
        <f t="shared" si="58"/>
        <v>13695.03652</v>
      </c>
      <c r="J145" s="442">
        <f t="shared" si="53"/>
        <v>211695.56452000001</v>
      </c>
      <c r="K145" s="442">
        <f t="shared" si="49"/>
        <v>27809.836025405868</v>
      </c>
      <c r="M145" s="425">
        <f t="shared" si="54"/>
        <v>22038.206342247518</v>
      </c>
      <c r="N145" s="425">
        <f t="shared" si="50"/>
        <v>3972.552216199123</v>
      </c>
      <c r="O145" s="425">
        <f t="shared" si="51"/>
        <v>1799.0774669592258</v>
      </c>
    </row>
    <row r="146" spans="1:15" ht="15" customHeight="1" x14ac:dyDescent="0.3">
      <c r="A146" s="443">
        <f>1+A145</f>
        <v>31</v>
      </c>
      <c r="B146" s="441">
        <f t="shared" si="55"/>
        <v>2049</v>
      </c>
      <c r="C146" s="421">
        <v>4670</v>
      </c>
      <c r="D146" s="30">
        <f t="shared" si="52"/>
        <v>1704550</v>
      </c>
      <c r="E146" s="423">
        <v>1.1000000000000001</v>
      </c>
      <c r="F146" s="444">
        <f t="shared" si="45"/>
        <v>1875005.0000000002</v>
      </c>
      <c r="G146" s="442">
        <f t="shared" si="56"/>
        <v>167760.44736000002</v>
      </c>
      <c r="H146" s="442">
        <f t="shared" si="57"/>
        <v>30240.08064</v>
      </c>
      <c r="I146" s="442">
        <f t="shared" si="58"/>
        <v>13695.03652</v>
      </c>
      <c r="J146" s="442">
        <f t="shared" si="53"/>
        <v>211695.56452000001</v>
      </c>
      <c r="K146" s="442">
        <f t="shared" si="49"/>
        <v>25990.500958323235</v>
      </c>
      <c r="M146" s="425">
        <f t="shared" si="54"/>
        <v>20596.454525464967</v>
      </c>
      <c r="N146" s="425">
        <f t="shared" si="50"/>
        <v>3712.6656226160021</v>
      </c>
      <c r="O146" s="425">
        <f t="shared" si="51"/>
        <v>1681.3808102422668</v>
      </c>
    </row>
    <row r="147" spans="1:15" ht="15" customHeight="1" x14ac:dyDescent="0.3">
      <c r="A147" s="576" t="s">
        <v>11</v>
      </c>
      <c r="B147" s="577"/>
      <c r="C147" s="577"/>
      <c r="D147" s="577"/>
      <c r="E147" s="577"/>
      <c r="F147" s="577"/>
      <c r="G147" s="577"/>
      <c r="H147" s="577"/>
      <c r="I147" s="577"/>
      <c r="J147" s="578"/>
      <c r="K147" s="445">
        <f>SUM(K115:K144)</f>
        <v>1486738.161014701</v>
      </c>
      <c r="M147" s="432">
        <f>SUM(M115:M144)</f>
        <v>1178181.7893281672</v>
      </c>
      <c r="N147" s="432">
        <f>SUM(N115:N144)</f>
        <v>212376.11653125752</v>
      </c>
      <c r="O147" s="432">
        <f>SUM(O115:O144)</f>
        <v>96180.255155276842</v>
      </c>
    </row>
    <row r="149" spans="1:15" ht="36.75" customHeight="1" x14ac:dyDescent="0.25">
      <c r="A149" s="573" t="s">
        <v>178</v>
      </c>
      <c r="B149" s="574"/>
      <c r="C149" s="574"/>
      <c r="D149" s="574"/>
      <c r="E149" s="574"/>
      <c r="F149" s="574"/>
      <c r="G149" s="574"/>
      <c r="H149" s="574"/>
      <c r="I149" s="574"/>
      <c r="J149" s="574"/>
      <c r="K149" s="575"/>
      <c r="M149" s="191"/>
      <c r="N149" s="191"/>
      <c r="O149" s="191"/>
    </row>
    <row r="150" spans="1:15" ht="15" customHeight="1" x14ac:dyDescent="0.3">
      <c r="A150" s="438" t="s">
        <v>145</v>
      </c>
      <c r="B150" s="438" t="s">
        <v>146</v>
      </c>
      <c r="C150" s="438" t="s">
        <v>147</v>
      </c>
      <c r="D150" s="438" t="s">
        <v>148</v>
      </c>
      <c r="E150" s="438" t="s">
        <v>149</v>
      </c>
      <c r="F150" s="438" t="s">
        <v>150</v>
      </c>
      <c r="G150" s="438" t="s">
        <v>155</v>
      </c>
      <c r="H150" s="438" t="s">
        <v>88</v>
      </c>
      <c r="I150" s="438" t="s">
        <v>156</v>
      </c>
      <c r="J150" s="438" t="s">
        <v>157</v>
      </c>
      <c r="K150" s="438" t="s">
        <v>158</v>
      </c>
      <c r="M150" s="415" t="s">
        <v>160</v>
      </c>
      <c r="N150" s="415" t="s">
        <v>160</v>
      </c>
      <c r="O150" s="415" t="s">
        <v>160</v>
      </c>
    </row>
    <row r="151" spans="1:15" ht="15" customHeight="1" x14ac:dyDescent="0.3">
      <c r="A151" s="446" t="s">
        <v>29</v>
      </c>
      <c r="B151" s="446" t="s">
        <v>30</v>
      </c>
      <c r="C151" s="446" t="s">
        <v>181</v>
      </c>
      <c r="D151" s="446" t="s">
        <v>182</v>
      </c>
      <c r="E151" s="446" t="s">
        <v>183</v>
      </c>
      <c r="F151" s="446" t="s">
        <v>184</v>
      </c>
      <c r="G151" s="446" t="s">
        <v>185</v>
      </c>
      <c r="H151" s="446" t="s">
        <v>186</v>
      </c>
      <c r="I151" s="446" t="s">
        <v>187</v>
      </c>
      <c r="J151" s="446" t="s">
        <v>188</v>
      </c>
      <c r="K151" s="447" t="s">
        <v>32</v>
      </c>
      <c r="M151" s="417" t="s">
        <v>189</v>
      </c>
      <c r="N151" s="417" t="s">
        <v>190</v>
      </c>
      <c r="O151" s="417" t="s">
        <v>191</v>
      </c>
    </row>
    <row r="152" spans="1:15" ht="15" customHeight="1" x14ac:dyDescent="0.3">
      <c r="A152" s="448">
        <v>0</v>
      </c>
      <c r="B152" s="441">
        <v>2018</v>
      </c>
      <c r="C152" s="421">
        <v>15950</v>
      </c>
      <c r="D152" s="30">
        <f>C152*365</f>
        <v>5821750</v>
      </c>
      <c r="E152" s="423">
        <v>0</v>
      </c>
      <c r="F152" s="426">
        <f t="shared" ref="F152:F183" si="59">D152*E152</f>
        <v>0</v>
      </c>
      <c r="G152" s="442">
        <f t="shared" ref="G152:G158" si="60">(F152)/100000000*9600000*0.932</f>
        <v>0</v>
      </c>
      <c r="H152" s="442">
        <f t="shared" ref="H152:H158" si="61">(F152)/100000000*9600000*0.003*56</f>
        <v>0</v>
      </c>
      <c r="I152" s="442">
        <f t="shared" ref="I152:I158" si="62">(F152)/100000000*166*4400</f>
        <v>0</v>
      </c>
      <c r="J152" s="442">
        <f>G152+H152+I152</f>
        <v>0</v>
      </c>
      <c r="K152" s="442">
        <f t="shared" ref="K152:K183" si="63">J152/(1+0.07)^A152</f>
        <v>0</v>
      </c>
      <c r="M152" s="425">
        <f>G152/(1+0.07)^$A152</f>
        <v>0</v>
      </c>
      <c r="N152" s="425">
        <f t="shared" ref="N152:N183" si="64">H152/(1+0.07)^$A152</f>
        <v>0</v>
      </c>
      <c r="O152" s="425">
        <f t="shared" ref="O152:O183" si="65">I152/(1+0.07)^$A152</f>
        <v>0</v>
      </c>
    </row>
    <row r="153" spans="1:15" ht="15" customHeight="1" x14ac:dyDescent="0.3">
      <c r="A153" s="448">
        <v>1</v>
      </c>
      <c r="B153" s="441">
        <f>1+B152</f>
        <v>2019</v>
      </c>
      <c r="C153" s="421">
        <v>16030</v>
      </c>
      <c r="D153" s="30">
        <f t="shared" ref="D153:D183" si="66">C153*365</f>
        <v>5850950</v>
      </c>
      <c r="E153" s="423">
        <v>0</v>
      </c>
      <c r="F153" s="426">
        <f t="shared" si="59"/>
        <v>0</v>
      </c>
      <c r="G153" s="442">
        <f t="shared" si="60"/>
        <v>0</v>
      </c>
      <c r="H153" s="442">
        <f t="shared" si="61"/>
        <v>0</v>
      </c>
      <c r="I153" s="442">
        <f t="shared" si="62"/>
        <v>0</v>
      </c>
      <c r="J153" s="442">
        <f t="shared" ref="J153:J183" si="67">G153+H153+I153</f>
        <v>0</v>
      </c>
      <c r="K153" s="442">
        <f t="shared" si="63"/>
        <v>0</v>
      </c>
      <c r="M153" s="425">
        <f t="shared" ref="M153:M183" si="68">G153/(1+0.07)^$A153</f>
        <v>0</v>
      </c>
      <c r="N153" s="425">
        <f t="shared" si="64"/>
        <v>0</v>
      </c>
      <c r="O153" s="425">
        <f t="shared" si="65"/>
        <v>0</v>
      </c>
    </row>
    <row r="154" spans="1:15" ht="15" customHeight="1" x14ac:dyDescent="0.3">
      <c r="A154" s="448">
        <v>2</v>
      </c>
      <c r="B154" s="441">
        <f t="shared" ref="B154:B183" si="69">1+B153</f>
        <v>2020</v>
      </c>
      <c r="C154" s="421">
        <v>16110</v>
      </c>
      <c r="D154" s="30">
        <f t="shared" si="66"/>
        <v>5880150</v>
      </c>
      <c r="E154" s="423">
        <v>0</v>
      </c>
      <c r="F154" s="426">
        <f t="shared" si="59"/>
        <v>0</v>
      </c>
      <c r="G154" s="442">
        <f t="shared" si="60"/>
        <v>0</v>
      </c>
      <c r="H154" s="442">
        <f t="shared" si="61"/>
        <v>0</v>
      </c>
      <c r="I154" s="442">
        <f t="shared" si="62"/>
        <v>0</v>
      </c>
      <c r="J154" s="442">
        <f t="shared" si="67"/>
        <v>0</v>
      </c>
      <c r="K154" s="442">
        <f t="shared" si="63"/>
        <v>0</v>
      </c>
      <c r="M154" s="425">
        <f t="shared" si="68"/>
        <v>0</v>
      </c>
      <c r="N154" s="425">
        <f t="shared" si="64"/>
        <v>0</v>
      </c>
      <c r="O154" s="425">
        <f t="shared" si="65"/>
        <v>0</v>
      </c>
    </row>
    <row r="155" spans="1:15" ht="15" customHeight="1" x14ac:dyDescent="0.3">
      <c r="A155" s="448">
        <v>3</v>
      </c>
      <c r="B155" s="441">
        <f t="shared" si="69"/>
        <v>2021</v>
      </c>
      <c r="C155" s="421">
        <v>16200</v>
      </c>
      <c r="D155" s="30">
        <f t="shared" si="66"/>
        <v>5913000</v>
      </c>
      <c r="E155" s="423">
        <v>0</v>
      </c>
      <c r="F155" s="426">
        <f t="shared" si="59"/>
        <v>0</v>
      </c>
      <c r="G155" s="442">
        <f t="shared" si="60"/>
        <v>0</v>
      </c>
      <c r="H155" s="442">
        <f t="shared" si="61"/>
        <v>0</v>
      </c>
      <c r="I155" s="442">
        <f t="shared" si="62"/>
        <v>0</v>
      </c>
      <c r="J155" s="442">
        <f t="shared" si="67"/>
        <v>0</v>
      </c>
      <c r="K155" s="442">
        <f t="shared" si="63"/>
        <v>0</v>
      </c>
      <c r="M155" s="425">
        <f t="shared" si="68"/>
        <v>0</v>
      </c>
      <c r="N155" s="425">
        <f t="shared" si="64"/>
        <v>0</v>
      </c>
      <c r="O155" s="425">
        <f t="shared" si="65"/>
        <v>0</v>
      </c>
    </row>
    <row r="156" spans="1:15" ht="15" customHeight="1" x14ac:dyDescent="0.3">
      <c r="A156" s="448">
        <v>4</v>
      </c>
      <c r="B156" s="441">
        <f t="shared" si="69"/>
        <v>2022</v>
      </c>
      <c r="C156" s="421">
        <v>16280</v>
      </c>
      <c r="D156" s="30">
        <f t="shared" si="66"/>
        <v>5942200</v>
      </c>
      <c r="E156" s="423">
        <v>0</v>
      </c>
      <c r="F156" s="426">
        <f t="shared" si="59"/>
        <v>0</v>
      </c>
      <c r="G156" s="442">
        <f t="shared" si="60"/>
        <v>0</v>
      </c>
      <c r="H156" s="442">
        <f t="shared" si="61"/>
        <v>0</v>
      </c>
      <c r="I156" s="442">
        <f t="shared" si="62"/>
        <v>0</v>
      </c>
      <c r="J156" s="442">
        <f t="shared" si="67"/>
        <v>0</v>
      </c>
      <c r="K156" s="442">
        <f t="shared" si="63"/>
        <v>0</v>
      </c>
      <c r="M156" s="425">
        <f t="shared" si="68"/>
        <v>0</v>
      </c>
      <c r="N156" s="425">
        <f t="shared" si="64"/>
        <v>0</v>
      </c>
      <c r="O156" s="425">
        <f t="shared" si="65"/>
        <v>0</v>
      </c>
    </row>
    <row r="157" spans="1:15" ht="15" customHeight="1" x14ac:dyDescent="0.3">
      <c r="A157" s="448">
        <v>5</v>
      </c>
      <c r="B157" s="441">
        <f t="shared" si="69"/>
        <v>2023</v>
      </c>
      <c r="C157" s="421">
        <v>16360</v>
      </c>
      <c r="D157" s="30">
        <f t="shared" si="66"/>
        <v>5971400</v>
      </c>
      <c r="E157" s="423">
        <v>0</v>
      </c>
      <c r="F157" s="426">
        <f t="shared" si="59"/>
        <v>0</v>
      </c>
      <c r="G157" s="442">
        <f t="shared" si="60"/>
        <v>0</v>
      </c>
      <c r="H157" s="442">
        <f t="shared" si="61"/>
        <v>0</v>
      </c>
      <c r="I157" s="442">
        <f t="shared" si="62"/>
        <v>0</v>
      </c>
      <c r="J157" s="442">
        <f t="shared" si="67"/>
        <v>0</v>
      </c>
      <c r="K157" s="442">
        <f t="shared" si="63"/>
        <v>0</v>
      </c>
      <c r="M157" s="425">
        <f t="shared" si="68"/>
        <v>0</v>
      </c>
      <c r="N157" s="425">
        <f t="shared" si="64"/>
        <v>0</v>
      </c>
      <c r="O157" s="425">
        <f t="shared" si="65"/>
        <v>0</v>
      </c>
    </row>
    <row r="158" spans="1:15" ht="15" customHeight="1" x14ac:dyDescent="0.3">
      <c r="A158" s="448">
        <v>6</v>
      </c>
      <c r="B158" s="441">
        <f t="shared" si="69"/>
        <v>2024</v>
      </c>
      <c r="C158" s="421">
        <v>16440</v>
      </c>
      <c r="D158" s="30">
        <f t="shared" si="66"/>
        <v>6000600</v>
      </c>
      <c r="E158" s="423">
        <v>0</v>
      </c>
      <c r="F158" s="426">
        <f t="shared" si="59"/>
        <v>0</v>
      </c>
      <c r="G158" s="442">
        <f t="shared" si="60"/>
        <v>0</v>
      </c>
      <c r="H158" s="442">
        <f t="shared" si="61"/>
        <v>0</v>
      </c>
      <c r="I158" s="442">
        <f t="shared" si="62"/>
        <v>0</v>
      </c>
      <c r="J158" s="442">
        <f t="shared" si="67"/>
        <v>0</v>
      </c>
      <c r="K158" s="442">
        <f t="shared" si="63"/>
        <v>0</v>
      </c>
      <c r="M158" s="425">
        <f t="shared" si="68"/>
        <v>0</v>
      </c>
      <c r="N158" s="425">
        <f t="shared" si="64"/>
        <v>0</v>
      </c>
      <c r="O158" s="425">
        <f t="shared" si="65"/>
        <v>0</v>
      </c>
    </row>
    <row r="159" spans="1:15" ht="15" customHeight="1" x14ac:dyDescent="0.3">
      <c r="A159" s="448">
        <v>7</v>
      </c>
      <c r="B159" s="441">
        <f t="shared" si="69"/>
        <v>2025</v>
      </c>
      <c r="C159" s="421">
        <v>16520</v>
      </c>
      <c r="D159" s="30">
        <f t="shared" si="66"/>
        <v>6029800</v>
      </c>
      <c r="E159" s="423">
        <v>2.2000000000000002</v>
      </c>
      <c r="F159" s="426">
        <f t="shared" si="59"/>
        <v>13265560.000000002</v>
      </c>
      <c r="G159" s="442">
        <f>(F159)/100000000*9600000*0.932</f>
        <v>1186896.18432</v>
      </c>
      <c r="H159" s="442">
        <f>(F159)/100000000*9600000*0.003*56</f>
        <v>213946.95168</v>
      </c>
      <c r="I159" s="442">
        <f>(F159)/100000000*166*4400</f>
        <v>96891.650240000017</v>
      </c>
      <c r="J159" s="442">
        <f t="shared" si="67"/>
        <v>1497734.78624</v>
      </c>
      <c r="K159" s="442">
        <f t="shared" si="63"/>
        <v>932713.95154253324</v>
      </c>
      <c r="M159" s="425">
        <f t="shared" si="68"/>
        <v>739139.29242908605</v>
      </c>
      <c r="N159" s="425">
        <f t="shared" si="64"/>
        <v>133235.4089357151</v>
      </c>
      <c r="O159" s="425">
        <f t="shared" si="65"/>
        <v>60339.250177732094</v>
      </c>
    </row>
    <row r="160" spans="1:15" ht="15" customHeight="1" x14ac:dyDescent="0.3">
      <c r="A160" s="448">
        <v>8</v>
      </c>
      <c r="B160" s="441">
        <f t="shared" si="69"/>
        <v>2026</v>
      </c>
      <c r="C160" s="421">
        <v>16610</v>
      </c>
      <c r="D160" s="30">
        <f t="shared" si="66"/>
        <v>6062650</v>
      </c>
      <c r="E160" s="423">
        <v>2.2000000000000002</v>
      </c>
      <c r="F160" s="426">
        <f t="shared" si="59"/>
        <v>13337830.000000002</v>
      </c>
      <c r="G160" s="442">
        <f t="shared" ref="G160:G183" si="70">(F160)/100000000*9600000*0.932</f>
        <v>1193362.3257599999</v>
      </c>
      <c r="H160" s="442">
        <f t="shared" ref="H160:H183" si="71">(F160)/100000000*9600000*0.003*56</f>
        <v>215112.52223999999</v>
      </c>
      <c r="I160" s="442">
        <f t="shared" ref="I160:I183" si="72">(F160)/100000000*166*4400</f>
        <v>97419.510320000001</v>
      </c>
      <c r="J160" s="442">
        <f t="shared" si="67"/>
        <v>1505894.3583200001</v>
      </c>
      <c r="K160" s="442">
        <f t="shared" si="63"/>
        <v>876444.22705536638</v>
      </c>
      <c r="M160" s="425">
        <f t="shared" si="68"/>
        <v>694547.73863722931</v>
      </c>
      <c r="N160" s="425">
        <f t="shared" si="64"/>
        <v>125197.44644962931</v>
      </c>
      <c r="O160" s="425">
        <f t="shared" si="65"/>
        <v>56699.041968507721</v>
      </c>
    </row>
    <row r="161" spans="1:15" ht="15" customHeight="1" x14ac:dyDescent="0.3">
      <c r="A161" s="448">
        <v>9</v>
      </c>
      <c r="B161" s="441">
        <f t="shared" si="69"/>
        <v>2027</v>
      </c>
      <c r="C161" s="421">
        <v>16690</v>
      </c>
      <c r="D161" s="30">
        <f t="shared" si="66"/>
        <v>6091850</v>
      </c>
      <c r="E161" s="423">
        <v>2.2000000000000002</v>
      </c>
      <c r="F161" s="426">
        <f t="shared" si="59"/>
        <v>13402070.000000002</v>
      </c>
      <c r="G161" s="442">
        <f t="shared" si="70"/>
        <v>1199110.0070400003</v>
      </c>
      <c r="H161" s="442">
        <f t="shared" si="71"/>
        <v>216148.58496000004</v>
      </c>
      <c r="I161" s="442">
        <f t="shared" si="72"/>
        <v>97888.719280000019</v>
      </c>
      <c r="J161" s="442">
        <f t="shared" si="67"/>
        <v>1513147.3112800005</v>
      </c>
      <c r="K161" s="442">
        <f t="shared" si="63"/>
        <v>823051.88010567147</v>
      </c>
      <c r="M161" s="425">
        <f t="shared" si="68"/>
        <v>652236.39389937138</v>
      </c>
      <c r="N161" s="425">
        <f t="shared" si="64"/>
        <v>117570.5087715605</v>
      </c>
      <c r="O161" s="425">
        <f t="shared" si="65"/>
        <v>53244.977434739456</v>
      </c>
    </row>
    <row r="162" spans="1:15" ht="15" customHeight="1" x14ac:dyDescent="0.3">
      <c r="A162" s="448">
        <v>10</v>
      </c>
      <c r="B162" s="441">
        <f t="shared" si="69"/>
        <v>2028</v>
      </c>
      <c r="C162" s="421">
        <v>16770</v>
      </c>
      <c r="D162" s="30">
        <f t="shared" si="66"/>
        <v>6121050</v>
      </c>
      <c r="E162" s="423">
        <v>2.2000000000000002</v>
      </c>
      <c r="F162" s="426">
        <f t="shared" si="59"/>
        <v>13466310.000000002</v>
      </c>
      <c r="G162" s="442">
        <f t="shared" si="70"/>
        <v>1204857.6883200002</v>
      </c>
      <c r="H162" s="442">
        <f t="shared" si="71"/>
        <v>217184.64768000002</v>
      </c>
      <c r="I162" s="442">
        <f t="shared" si="72"/>
        <v>98357.928240000008</v>
      </c>
      <c r="J162" s="442">
        <f t="shared" si="67"/>
        <v>1520400.2642400002</v>
      </c>
      <c r="K162" s="442">
        <f t="shared" si="63"/>
        <v>772894.39808784192</v>
      </c>
      <c r="M162" s="425">
        <f t="shared" si="68"/>
        <v>612488.55298054451</v>
      </c>
      <c r="N162" s="425">
        <f t="shared" si="64"/>
        <v>110405.6619106561</v>
      </c>
      <c r="O162" s="425">
        <f t="shared" si="65"/>
        <v>50000.183196641374</v>
      </c>
    </row>
    <row r="163" spans="1:15" ht="15" customHeight="1" x14ac:dyDescent="0.3">
      <c r="A163" s="448">
        <v>11</v>
      </c>
      <c r="B163" s="441">
        <f t="shared" si="69"/>
        <v>2029</v>
      </c>
      <c r="C163" s="421">
        <v>16850</v>
      </c>
      <c r="D163" s="30">
        <f t="shared" si="66"/>
        <v>6150250</v>
      </c>
      <c r="E163" s="423">
        <v>2.2000000000000002</v>
      </c>
      <c r="F163" s="426">
        <f t="shared" si="59"/>
        <v>13530550.000000002</v>
      </c>
      <c r="G163" s="442">
        <f t="shared" si="70"/>
        <v>1210605.3696000003</v>
      </c>
      <c r="H163" s="442">
        <f t="shared" si="71"/>
        <v>218220.71040000007</v>
      </c>
      <c r="I163" s="442">
        <f t="shared" si="72"/>
        <v>98827.137200000026</v>
      </c>
      <c r="J163" s="442">
        <f t="shared" si="67"/>
        <v>1527653.2172000003</v>
      </c>
      <c r="K163" s="442">
        <f t="shared" si="63"/>
        <v>725777.03887004149</v>
      </c>
      <c r="M163" s="425">
        <f t="shared" si="68"/>
        <v>575149.89036509208</v>
      </c>
      <c r="N163" s="425">
        <f t="shared" si="64"/>
        <v>103675.08753362174</v>
      </c>
      <c r="O163" s="425">
        <f t="shared" si="65"/>
        <v>46952.060971327701</v>
      </c>
    </row>
    <row r="164" spans="1:15" ht="15" customHeight="1" x14ac:dyDescent="0.3">
      <c r="A164" s="448">
        <v>12</v>
      </c>
      <c r="B164" s="441">
        <f t="shared" si="69"/>
        <v>2030</v>
      </c>
      <c r="C164" s="421">
        <v>16930</v>
      </c>
      <c r="D164" s="30">
        <f t="shared" si="66"/>
        <v>6179450</v>
      </c>
      <c r="E164" s="423">
        <v>2.2000000000000002</v>
      </c>
      <c r="F164" s="426">
        <f t="shared" si="59"/>
        <v>13594790.000000002</v>
      </c>
      <c r="G164" s="442">
        <f t="shared" si="70"/>
        <v>1216353.0508800002</v>
      </c>
      <c r="H164" s="442">
        <f t="shared" si="71"/>
        <v>219256.77312000003</v>
      </c>
      <c r="I164" s="442">
        <f t="shared" si="72"/>
        <v>99296.346160000016</v>
      </c>
      <c r="J164" s="442">
        <f t="shared" si="67"/>
        <v>1534906.1701600002</v>
      </c>
      <c r="K164" s="442">
        <f t="shared" si="63"/>
        <v>681516.69586343516</v>
      </c>
      <c r="M164" s="425">
        <f t="shared" si="68"/>
        <v>540075.30124967464</v>
      </c>
      <c r="N164" s="425">
        <f t="shared" si="64"/>
        <v>97352.629409812595</v>
      </c>
      <c r="O164" s="425">
        <f t="shared" si="65"/>
        <v>44088.765203947871</v>
      </c>
    </row>
    <row r="165" spans="1:15" ht="15" customHeight="1" x14ac:dyDescent="0.3">
      <c r="A165" s="448">
        <v>13</v>
      </c>
      <c r="B165" s="441">
        <f t="shared" si="69"/>
        <v>2031</v>
      </c>
      <c r="C165" s="421">
        <v>17010</v>
      </c>
      <c r="D165" s="30">
        <f t="shared" si="66"/>
        <v>6208650</v>
      </c>
      <c r="E165" s="423">
        <v>2.2000000000000002</v>
      </c>
      <c r="F165" s="426">
        <f t="shared" si="59"/>
        <v>13659030.000000002</v>
      </c>
      <c r="G165" s="442">
        <f t="shared" si="70"/>
        <v>1222100.7321600004</v>
      </c>
      <c r="H165" s="442">
        <f t="shared" si="71"/>
        <v>220292.83584000007</v>
      </c>
      <c r="I165" s="442">
        <f t="shared" si="72"/>
        <v>99765.555120000019</v>
      </c>
      <c r="J165" s="442">
        <f t="shared" si="67"/>
        <v>1542159.1231200004</v>
      </c>
      <c r="K165" s="442">
        <f t="shared" si="63"/>
        <v>639941.20908176224</v>
      </c>
      <c r="M165" s="425">
        <f t="shared" si="68"/>
        <v>507128.35558495217</v>
      </c>
      <c r="N165" s="425">
        <f t="shared" si="64"/>
        <v>91413.694998145875</v>
      </c>
      <c r="O165" s="425">
        <f t="shared" si="65"/>
        <v>41399.158498664277</v>
      </c>
    </row>
    <row r="166" spans="1:15" ht="15" customHeight="1" x14ac:dyDescent="0.3">
      <c r="A166" s="448">
        <v>14</v>
      </c>
      <c r="B166" s="441">
        <f t="shared" si="69"/>
        <v>2032</v>
      </c>
      <c r="C166" s="421">
        <v>17100</v>
      </c>
      <c r="D166" s="30">
        <f t="shared" si="66"/>
        <v>6241500</v>
      </c>
      <c r="E166" s="423">
        <v>2.2000000000000002</v>
      </c>
      <c r="F166" s="426">
        <f t="shared" si="59"/>
        <v>13731300.000000002</v>
      </c>
      <c r="G166" s="442">
        <f t="shared" si="70"/>
        <v>1228566.8736000003</v>
      </c>
      <c r="H166" s="442">
        <f t="shared" si="71"/>
        <v>221458.40640000004</v>
      </c>
      <c r="I166" s="442">
        <f t="shared" si="72"/>
        <v>100293.41520000002</v>
      </c>
      <c r="J166" s="442">
        <f t="shared" si="67"/>
        <v>1550318.6952000002</v>
      </c>
      <c r="K166" s="442">
        <f t="shared" si="63"/>
        <v>601240.31907004316</v>
      </c>
      <c r="M166" s="425">
        <f t="shared" si="68"/>
        <v>476459.41532483266</v>
      </c>
      <c r="N166" s="425">
        <f t="shared" si="64"/>
        <v>85885.388170141494</v>
      </c>
      <c r="O166" s="425">
        <f t="shared" si="65"/>
        <v>38895.515575069046</v>
      </c>
    </row>
    <row r="167" spans="1:15" ht="15" customHeight="1" x14ac:dyDescent="0.3">
      <c r="A167" s="448">
        <v>15</v>
      </c>
      <c r="B167" s="441">
        <f t="shared" si="69"/>
        <v>2033</v>
      </c>
      <c r="C167" s="421">
        <v>17180</v>
      </c>
      <c r="D167" s="30">
        <f t="shared" si="66"/>
        <v>6270700</v>
      </c>
      <c r="E167" s="423">
        <v>2.2000000000000002</v>
      </c>
      <c r="F167" s="426">
        <f t="shared" si="59"/>
        <v>13795540.000000002</v>
      </c>
      <c r="G167" s="442">
        <f t="shared" si="70"/>
        <v>1234314.5548800002</v>
      </c>
      <c r="H167" s="442">
        <f t="shared" si="71"/>
        <v>222494.46912000002</v>
      </c>
      <c r="I167" s="442">
        <f t="shared" si="72"/>
        <v>100762.62416000001</v>
      </c>
      <c r="J167" s="442">
        <f t="shared" si="67"/>
        <v>1557571.6481600003</v>
      </c>
      <c r="K167" s="442">
        <f t="shared" si="63"/>
        <v>564535.64418338204</v>
      </c>
      <c r="M167" s="425">
        <f t="shared" si="68"/>
        <v>447372.397402887</v>
      </c>
      <c r="N167" s="425">
        <f t="shared" si="64"/>
        <v>80642.234724983922</v>
      </c>
      <c r="O167" s="425">
        <f t="shared" si="65"/>
        <v>36521.01205551107</v>
      </c>
    </row>
    <row r="168" spans="1:15" ht="15" customHeight="1" x14ac:dyDescent="0.3">
      <c r="A168" s="448">
        <v>16</v>
      </c>
      <c r="B168" s="441">
        <f t="shared" si="69"/>
        <v>2034</v>
      </c>
      <c r="C168" s="421">
        <v>17260</v>
      </c>
      <c r="D168" s="30">
        <f t="shared" si="66"/>
        <v>6299900</v>
      </c>
      <c r="E168" s="423">
        <v>2.2000000000000002</v>
      </c>
      <c r="F168" s="426">
        <f t="shared" si="59"/>
        <v>13859780.000000002</v>
      </c>
      <c r="G168" s="442">
        <f t="shared" si="70"/>
        <v>1240062.2361600001</v>
      </c>
      <c r="H168" s="442">
        <f t="shared" si="71"/>
        <v>223530.53184000004</v>
      </c>
      <c r="I168" s="442">
        <f t="shared" si="72"/>
        <v>101231.83312000001</v>
      </c>
      <c r="J168" s="442">
        <f t="shared" si="67"/>
        <v>1564824.6011200002</v>
      </c>
      <c r="K168" s="442">
        <f t="shared" si="63"/>
        <v>530060.231882605</v>
      </c>
      <c r="M168" s="425">
        <f t="shared" si="68"/>
        <v>420051.9828084074</v>
      </c>
      <c r="N168" s="425">
        <f t="shared" si="64"/>
        <v>75717.524798082028</v>
      </c>
      <c r="O168" s="425">
        <f t="shared" si="65"/>
        <v>34290.724276115521</v>
      </c>
    </row>
    <row r="169" spans="1:15" ht="15" customHeight="1" x14ac:dyDescent="0.3">
      <c r="A169" s="448">
        <v>17</v>
      </c>
      <c r="B169" s="441">
        <f t="shared" si="69"/>
        <v>2035</v>
      </c>
      <c r="C169" s="421">
        <v>17340</v>
      </c>
      <c r="D169" s="30">
        <f t="shared" si="66"/>
        <v>6329100</v>
      </c>
      <c r="E169" s="423">
        <v>2.2000000000000002</v>
      </c>
      <c r="F169" s="426">
        <f t="shared" si="59"/>
        <v>13924020.000000002</v>
      </c>
      <c r="G169" s="442">
        <f t="shared" si="70"/>
        <v>1245809.9174400002</v>
      </c>
      <c r="H169" s="442">
        <f t="shared" si="71"/>
        <v>224566.59456000003</v>
      </c>
      <c r="I169" s="442">
        <f t="shared" si="72"/>
        <v>101701.04208</v>
      </c>
      <c r="J169" s="442">
        <f t="shared" si="67"/>
        <v>1572077.5540800004</v>
      </c>
      <c r="K169" s="442">
        <f t="shared" si="63"/>
        <v>497679.4934451853</v>
      </c>
      <c r="M169" s="425">
        <f t="shared" si="68"/>
        <v>394391.51524771145</v>
      </c>
      <c r="N169" s="425">
        <f t="shared" si="64"/>
        <v>71092.032791432968</v>
      </c>
      <c r="O169" s="425">
        <f t="shared" si="65"/>
        <v>32195.945406040817</v>
      </c>
    </row>
    <row r="170" spans="1:15" ht="15" customHeight="1" x14ac:dyDescent="0.3">
      <c r="A170" s="448">
        <v>18</v>
      </c>
      <c r="B170" s="441">
        <f t="shared" si="69"/>
        <v>2036</v>
      </c>
      <c r="C170" s="421">
        <v>17420</v>
      </c>
      <c r="D170" s="30">
        <f t="shared" si="66"/>
        <v>6358300</v>
      </c>
      <c r="E170" s="423">
        <v>2.2000000000000002</v>
      </c>
      <c r="F170" s="426">
        <f t="shared" si="59"/>
        <v>13988260.000000002</v>
      </c>
      <c r="G170" s="442">
        <f t="shared" si="70"/>
        <v>1251557.5987200004</v>
      </c>
      <c r="H170" s="442">
        <f t="shared" si="71"/>
        <v>225602.65728000001</v>
      </c>
      <c r="I170" s="442">
        <f t="shared" si="72"/>
        <v>102170.25104000002</v>
      </c>
      <c r="J170" s="442">
        <f t="shared" si="67"/>
        <v>1579330.5070400003</v>
      </c>
      <c r="K170" s="442">
        <f t="shared" si="63"/>
        <v>467266.90897903003</v>
      </c>
      <c r="M170" s="425">
        <f t="shared" si="68"/>
        <v>370290.73265935463</v>
      </c>
      <c r="N170" s="425">
        <f t="shared" si="64"/>
        <v>66747.685715420143</v>
      </c>
      <c r="O170" s="425">
        <f t="shared" si="65"/>
        <v>30228.490604255254</v>
      </c>
    </row>
    <row r="171" spans="1:15" ht="15" customHeight="1" x14ac:dyDescent="0.3">
      <c r="A171" s="448">
        <v>19</v>
      </c>
      <c r="B171" s="441">
        <f t="shared" si="69"/>
        <v>2037</v>
      </c>
      <c r="C171" s="421">
        <v>17510</v>
      </c>
      <c r="D171" s="30">
        <f t="shared" si="66"/>
        <v>6391150</v>
      </c>
      <c r="E171" s="423">
        <v>2.2000000000000002</v>
      </c>
      <c r="F171" s="426">
        <f t="shared" si="59"/>
        <v>14060530.000000002</v>
      </c>
      <c r="G171" s="442">
        <f t="shared" si="70"/>
        <v>1258023.7401600003</v>
      </c>
      <c r="H171" s="442">
        <f t="shared" si="71"/>
        <v>226768.22784000004</v>
      </c>
      <c r="I171" s="442">
        <f t="shared" si="72"/>
        <v>102698.11112000002</v>
      </c>
      <c r="J171" s="442">
        <f t="shared" si="67"/>
        <v>1587490.0791200004</v>
      </c>
      <c r="K171" s="442">
        <f t="shared" si="63"/>
        <v>438954.23544871697</v>
      </c>
      <c r="M171" s="425">
        <f t="shared" si="68"/>
        <v>347854.04727970314</v>
      </c>
      <c r="N171" s="425">
        <f t="shared" si="64"/>
        <v>62703.304659860652</v>
      </c>
      <c r="O171" s="425">
        <f t="shared" si="65"/>
        <v>28396.883509153162</v>
      </c>
    </row>
    <row r="172" spans="1:15" ht="15" customHeight="1" x14ac:dyDescent="0.3">
      <c r="A172" s="448">
        <v>20</v>
      </c>
      <c r="B172" s="441">
        <f t="shared" si="69"/>
        <v>2038</v>
      </c>
      <c r="C172" s="421">
        <v>17590</v>
      </c>
      <c r="D172" s="30">
        <f t="shared" si="66"/>
        <v>6420350</v>
      </c>
      <c r="E172" s="423">
        <v>2.2000000000000002</v>
      </c>
      <c r="F172" s="426">
        <f t="shared" si="59"/>
        <v>14124770.000000002</v>
      </c>
      <c r="G172" s="442">
        <f t="shared" si="70"/>
        <v>1263771.4214400004</v>
      </c>
      <c r="H172" s="442">
        <f t="shared" si="71"/>
        <v>227804.29056000008</v>
      </c>
      <c r="I172" s="442">
        <f t="shared" si="72"/>
        <v>103167.32008000002</v>
      </c>
      <c r="J172" s="442">
        <f t="shared" si="67"/>
        <v>1594743.0320800005</v>
      </c>
      <c r="K172" s="442">
        <f t="shared" si="63"/>
        <v>412111.90409447916</v>
      </c>
      <c r="M172" s="425">
        <f t="shared" si="68"/>
        <v>326582.55051319033</v>
      </c>
      <c r="N172" s="425">
        <f t="shared" si="64"/>
        <v>58868.957603236027</v>
      </c>
      <c r="O172" s="425">
        <f t="shared" si="65"/>
        <v>26660.395978052817</v>
      </c>
    </row>
    <row r="173" spans="1:15" ht="15" customHeight="1" x14ac:dyDescent="0.3">
      <c r="A173" s="448">
        <v>21</v>
      </c>
      <c r="B173" s="441">
        <f t="shared" si="69"/>
        <v>2039</v>
      </c>
      <c r="C173" s="421">
        <v>17670</v>
      </c>
      <c r="D173" s="30">
        <f t="shared" si="66"/>
        <v>6449550</v>
      </c>
      <c r="E173" s="423">
        <v>2.2000000000000002</v>
      </c>
      <c r="F173" s="426">
        <f t="shared" si="59"/>
        <v>14189010.000000002</v>
      </c>
      <c r="G173" s="442">
        <f t="shared" si="70"/>
        <v>1269519.1027200003</v>
      </c>
      <c r="H173" s="442">
        <f t="shared" si="71"/>
        <v>228840.35328000004</v>
      </c>
      <c r="I173" s="442">
        <f t="shared" si="72"/>
        <v>103636.52904000001</v>
      </c>
      <c r="J173" s="442">
        <f t="shared" si="67"/>
        <v>1601995.9850400002</v>
      </c>
      <c r="K173" s="442">
        <f t="shared" si="63"/>
        <v>386902.9952951945</v>
      </c>
      <c r="M173" s="425">
        <f t="shared" si="68"/>
        <v>306605.47717575682</v>
      </c>
      <c r="N173" s="425">
        <f t="shared" si="64"/>
        <v>55267.940091767319</v>
      </c>
      <c r="O173" s="425">
        <f t="shared" si="65"/>
        <v>25029.578027670417</v>
      </c>
    </row>
    <row r="174" spans="1:15" ht="15" customHeight="1" x14ac:dyDescent="0.3">
      <c r="A174" s="448">
        <v>22</v>
      </c>
      <c r="B174" s="441">
        <f t="shared" si="69"/>
        <v>2040</v>
      </c>
      <c r="C174" s="421">
        <v>17750</v>
      </c>
      <c r="D174" s="30">
        <f t="shared" si="66"/>
        <v>6478750</v>
      </c>
      <c r="E174" s="423">
        <v>2.2000000000000002</v>
      </c>
      <c r="F174" s="426">
        <f t="shared" si="59"/>
        <v>14253250.000000002</v>
      </c>
      <c r="G174" s="442">
        <f t="shared" si="70"/>
        <v>1275266.784</v>
      </c>
      <c r="H174" s="442">
        <f t="shared" si="71"/>
        <v>229876.41599999997</v>
      </c>
      <c r="I174" s="442">
        <f t="shared" si="72"/>
        <v>104105.73800000001</v>
      </c>
      <c r="J174" s="442">
        <f t="shared" si="67"/>
        <v>1609248.9380000001</v>
      </c>
      <c r="K174" s="442">
        <f t="shared" si="63"/>
        <v>363228.67135753098</v>
      </c>
      <c r="M174" s="425">
        <f t="shared" si="68"/>
        <v>287844.50226476486</v>
      </c>
      <c r="N174" s="425">
        <f t="shared" si="64"/>
        <v>51886.13345545117</v>
      </c>
      <c r="O174" s="425">
        <f t="shared" si="65"/>
        <v>23498.035637314944</v>
      </c>
    </row>
    <row r="175" spans="1:15" ht="15" customHeight="1" x14ac:dyDescent="0.3">
      <c r="A175" s="448">
        <v>23</v>
      </c>
      <c r="B175" s="441">
        <f t="shared" si="69"/>
        <v>2041</v>
      </c>
      <c r="C175" s="421">
        <v>17830</v>
      </c>
      <c r="D175" s="30">
        <f t="shared" si="66"/>
        <v>6507950</v>
      </c>
      <c r="E175" s="423">
        <v>2.2000000000000002</v>
      </c>
      <c r="F175" s="426">
        <f t="shared" si="59"/>
        <v>14317490.000000002</v>
      </c>
      <c r="G175" s="442">
        <f t="shared" si="70"/>
        <v>1281014.4652800004</v>
      </c>
      <c r="H175" s="442">
        <f t="shared" si="71"/>
        <v>230912.47872000001</v>
      </c>
      <c r="I175" s="442">
        <f t="shared" si="72"/>
        <v>104574.94696000002</v>
      </c>
      <c r="J175" s="442">
        <f t="shared" si="67"/>
        <v>1616501.8909600005</v>
      </c>
      <c r="K175" s="442">
        <f t="shared" si="63"/>
        <v>340996.035819654</v>
      </c>
      <c r="M175" s="425">
        <f t="shared" si="68"/>
        <v>270226.00897094951</v>
      </c>
      <c r="N175" s="425">
        <f t="shared" si="64"/>
        <v>48710.267711501619</v>
      </c>
      <c r="O175" s="425">
        <f t="shared" si="65"/>
        <v>22059.759137202869</v>
      </c>
    </row>
    <row r="176" spans="1:15" ht="15" customHeight="1" x14ac:dyDescent="0.3">
      <c r="A176" s="448">
        <v>24</v>
      </c>
      <c r="B176" s="441">
        <f t="shared" si="69"/>
        <v>2042</v>
      </c>
      <c r="C176" s="421">
        <v>17920</v>
      </c>
      <c r="D176" s="30">
        <f t="shared" si="66"/>
        <v>6540800</v>
      </c>
      <c r="E176" s="423">
        <v>2.2000000000000002</v>
      </c>
      <c r="F176" s="426">
        <f t="shared" si="59"/>
        <v>14389760.000000002</v>
      </c>
      <c r="G176" s="442">
        <f t="shared" si="70"/>
        <v>1287480.6067200003</v>
      </c>
      <c r="H176" s="442">
        <f t="shared" si="71"/>
        <v>232078.04928000004</v>
      </c>
      <c r="I176" s="442">
        <f t="shared" si="72"/>
        <v>105102.80704</v>
      </c>
      <c r="J176" s="442">
        <f t="shared" si="67"/>
        <v>1624661.4630400005</v>
      </c>
      <c r="K176" s="442">
        <f t="shared" si="63"/>
        <v>320296.51599940244</v>
      </c>
      <c r="M176" s="425">
        <f t="shared" si="68"/>
        <v>253822.44986447366</v>
      </c>
      <c r="N176" s="425">
        <f t="shared" si="64"/>
        <v>45753.4029798622</v>
      </c>
      <c r="O176" s="425">
        <f t="shared" si="65"/>
        <v>20720.663155066559</v>
      </c>
    </row>
    <row r="177" spans="1:15" ht="15" customHeight="1" x14ac:dyDescent="0.3">
      <c r="A177" s="448">
        <v>25</v>
      </c>
      <c r="B177" s="441">
        <f t="shared" si="69"/>
        <v>2043</v>
      </c>
      <c r="C177" s="421">
        <v>18000</v>
      </c>
      <c r="D177" s="30">
        <f t="shared" si="66"/>
        <v>6570000</v>
      </c>
      <c r="E177" s="423">
        <v>2.2000000000000002</v>
      </c>
      <c r="F177" s="426">
        <f t="shared" si="59"/>
        <v>14454000.000000002</v>
      </c>
      <c r="G177" s="442">
        <f t="shared" si="70"/>
        <v>1293228.2880000002</v>
      </c>
      <c r="H177" s="442">
        <f t="shared" si="71"/>
        <v>233114.11200000002</v>
      </c>
      <c r="I177" s="442">
        <f t="shared" si="72"/>
        <v>105572.01600000003</v>
      </c>
      <c r="J177" s="442">
        <f t="shared" si="67"/>
        <v>1631914.4160000002</v>
      </c>
      <c r="K177" s="442">
        <f t="shared" si="63"/>
        <v>300678.88893468597</v>
      </c>
      <c r="M177" s="425">
        <f t="shared" si="68"/>
        <v>238276.24841249399</v>
      </c>
      <c r="N177" s="425">
        <f t="shared" si="64"/>
        <v>42951.083404827245</v>
      </c>
      <c r="O177" s="425">
        <f t="shared" si="65"/>
        <v>19451.557117364722</v>
      </c>
    </row>
    <row r="178" spans="1:15" ht="15" customHeight="1" x14ac:dyDescent="0.3">
      <c r="A178" s="448">
        <v>26</v>
      </c>
      <c r="B178" s="441">
        <f t="shared" si="69"/>
        <v>2044</v>
      </c>
      <c r="C178" s="421">
        <v>18080</v>
      </c>
      <c r="D178" s="30">
        <f t="shared" si="66"/>
        <v>6599200</v>
      </c>
      <c r="E178" s="423">
        <v>2.2000000000000002</v>
      </c>
      <c r="F178" s="426">
        <f t="shared" si="59"/>
        <v>14518240.000000002</v>
      </c>
      <c r="G178" s="442">
        <f t="shared" si="70"/>
        <v>1298975.9692800003</v>
      </c>
      <c r="H178" s="442">
        <f t="shared" si="71"/>
        <v>234150.17472000007</v>
      </c>
      <c r="I178" s="442">
        <f t="shared" si="72"/>
        <v>106041.22496000002</v>
      </c>
      <c r="J178" s="442">
        <f t="shared" si="67"/>
        <v>1639167.3689600003</v>
      </c>
      <c r="K178" s="442">
        <f t="shared" si="63"/>
        <v>282257.23322633037</v>
      </c>
      <c r="M178" s="425">
        <f t="shared" si="68"/>
        <v>223677.80744018132</v>
      </c>
      <c r="N178" s="425">
        <f t="shared" si="64"/>
        <v>40319.604774624961</v>
      </c>
      <c r="O178" s="425">
        <f t="shared" si="65"/>
        <v>18259.821011524102</v>
      </c>
    </row>
    <row r="179" spans="1:15" ht="15" customHeight="1" x14ac:dyDescent="0.3">
      <c r="A179" s="448">
        <v>27</v>
      </c>
      <c r="B179" s="441">
        <f t="shared" si="69"/>
        <v>2045</v>
      </c>
      <c r="C179" s="421">
        <v>18160</v>
      </c>
      <c r="D179" s="30">
        <f t="shared" si="66"/>
        <v>6628400</v>
      </c>
      <c r="E179" s="423">
        <v>2.2000000000000002</v>
      </c>
      <c r="F179" s="426">
        <f t="shared" si="59"/>
        <v>14582480.000000002</v>
      </c>
      <c r="G179" s="442">
        <f t="shared" si="70"/>
        <v>1304723.6505600004</v>
      </c>
      <c r="H179" s="442">
        <f t="shared" si="71"/>
        <v>235186.23744000006</v>
      </c>
      <c r="I179" s="442">
        <f t="shared" si="72"/>
        <v>106510.43392000002</v>
      </c>
      <c r="J179" s="442">
        <f t="shared" si="67"/>
        <v>1646420.3219200005</v>
      </c>
      <c r="K179" s="442">
        <f t="shared" si="63"/>
        <v>264959.02713744517</v>
      </c>
      <c r="M179" s="425">
        <f t="shared" si="68"/>
        <v>209969.65631015282</v>
      </c>
      <c r="N179" s="425">
        <f t="shared" si="64"/>
        <v>37848.607575220674</v>
      </c>
      <c r="O179" s="425">
        <f t="shared" si="65"/>
        <v>17140.763252071665</v>
      </c>
    </row>
    <row r="180" spans="1:15" ht="15" customHeight="1" x14ac:dyDescent="0.3">
      <c r="A180" s="448">
        <v>28</v>
      </c>
      <c r="B180" s="441">
        <f t="shared" si="69"/>
        <v>2046</v>
      </c>
      <c r="C180" s="421">
        <v>18240</v>
      </c>
      <c r="D180" s="30">
        <f t="shared" si="66"/>
        <v>6657600</v>
      </c>
      <c r="E180" s="423">
        <v>2.2000000000000002</v>
      </c>
      <c r="F180" s="426">
        <f t="shared" si="59"/>
        <v>14646720.000000002</v>
      </c>
      <c r="G180" s="442">
        <f t="shared" si="70"/>
        <v>1310471.3318400001</v>
      </c>
      <c r="H180" s="442">
        <f t="shared" si="71"/>
        <v>236222.30016000001</v>
      </c>
      <c r="I180" s="442">
        <f t="shared" si="72"/>
        <v>106979.64288000001</v>
      </c>
      <c r="J180" s="442">
        <f t="shared" si="67"/>
        <v>1653673.2748800002</v>
      </c>
      <c r="K180" s="442">
        <f t="shared" si="63"/>
        <v>248716.11917879491</v>
      </c>
      <c r="M180" s="425">
        <f t="shared" si="68"/>
        <v>197097.78763520459</v>
      </c>
      <c r="N180" s="425">
        <f t="shared" si="64"/>
        <v>35528.356569436015</v>
      </c>
      <c r="O180" s="425">
        <f t="shared" si="65"/>
        <v>16089.974974154309</v>
      </c>
    </row>
    <row r="181" spans="1:15" ht="15" customHeight="1" x14ac:dyDescent="0.3">
      <c r="A181" s="443">
        <v>29</v>
      </c>
      <c r="B181" s="441">
        <f t="shared" si="69"/>
        <v>2047</v>
      </c>
      <c r="C181" s="421">
        <v>18320</v>
      </c>
      <c r="D181" s="30">
        <f t="shared" si="66"/>
        <v>6686800</v>
      </c>
      <c r="E181" s="423">
        <v>2.2000000000000002</v>
      </c>
      <c r="F181" s="444">
        <f t="shared" si="59"/>
        <v>14710960.000000002</v>
      </c>
      <c r="G181" s="442">
        <f t="shared" si="70"/>
        <v>1316219.0131200003</v>
      </c>
      <c r="H181" s="442">
        <f t="shared" si="71"/>
        <v>237258.36288000006</v>
      </c>
      <c r="I181" s="442">
        <f t="shared" si="72"/>
        <v>107448.85184</v>
      </c>
      <c r="J181" s="442">
        <f t="shared" si="67"/>
        <v>1660926.2278400003</v>
      </c>
      <c r="K181" s="442">
        <f t="shared" si="63"/>
        <v>233464.46668283342</v>
      </c>
      <c r="M181" s="425">
        <f t="shared" si="68"/>
        <v>185011.45010846801</v>
      </c>
      <c r="N181" s="425">
        <f t="shared" si="64"/>
        <v>33349.703453028567</v>
      </c>
      <c r="O181" s="425">
        <f t="shared" si="65"/>
        <v>15103.313121336843</v>
      </c>
    </row>
    <row r="182" spans="1:15" ht="15" customHeight="1" x14ac:dyDescent="0.3">
      <c r="A182" s="448">
        <f>1+A181</f>
        <v>30</v>
      </c>
      <c r="B182" s="441">
        <f t="shared" si="69"/>
        <v>2048</v>
      </c>
      <c r="C182" s="421">
        <v>18410</v>
      </c>
      <c r="D182" s="30">
        <f t="shared" si="66"/>
        <v>6719650</v>
      </c>
      <c r="E182" s="423">
        <v>2.2000000000000002</v>
      </c>
      <c r="F182" s="426">
        <f t="shared" si="59"/>
        <v>14783230.000000002</v>
      </c>
      <c r="G182" s="442">
        <f t="shared" si="70"/>
        <v>1322685.1545600004</v>
      </c>
      <c r="H182" s="442">
        <f t="shared" si="71"/>
        <v>238423.93344000005</v>
      </c>
      <c r="I182" s="442">
        <f t="shared" si="72"/>
        <v>107976.71192000002</v>
      </c>
      <c r="J182" s="442">
        <f t="shared" si="67"/>
        <v>1669085.7999200004</v>
      </c>
      <c r="K182" s="442">
        <f t="shared" si="63"/>
        <v>219262.98981915292</v>
      </c>
      <c r="M182" s="425">
        <f t="shared" si="68"/>
        <v>173757.33565772031</v>
      </c>
      <c r="N182" s="425">
        <f t="shared" si="64"/>
        <v>31321.064796670609</v>
      </c>
      <c r="O182" s="425">
        <f t="shared" si="65"/>
        <v>14184.589364762036</v>
      </c>
    </row>
    <row r="183" spans="1:15" ht="15" customHeight="1" x14ac:dyDescent="0.3">
      <c r="A183" s="443">
        <f>1+A182</f>
        <v>31</v>
      </c>
      <c r="B183" s="441">
        <f t="shared" si="69"/>
        <v>2049</v>
      </c>
      <c r="C183" s="421">
        <v>18410</v>
      </c>
      <c r="D183" s="30">
        <f t="shared" si="66"/>
        <v>6719650</v>
      </c>
      <c r="E183" s="423">
        <v>2.2000000000000002</v>
      </c>
      <c r="F183" s="444">
        <f t="shared" si="59"/>
        <v>14783230.000000002</v>
      </c>
      <c r="G183" s="442">
        <f t="shared" si="70"/>
        <v>1322685.1545600004</v>
      </c>
      <c r="H183" s="442">
        <f t="shared" si="71"/>
        <v>238423.93344000005</v>
      </c>
      <c r="I183" s="442">
        <f t="shared" si="72"/>
        <v>107976.71192000002</v>
      </c>
      <c r="J183" s="442">
        <f t="shared" si="67"/>
        <v>1669085.7999200004</v>
      </c>
      <c r="K183" s="442">
        <f t="shared" si="63"/>
        <v>204918.68207397466</v>
      </c>
      <c r="M183" s="425">
        <f t="shared" si="68"/>
        <v>162390.0333249722</v>
      </c>
      <c r="N183" s="425">
        <f t="shared" si="64"/>
        <v>29272.023174458507</v>
      </c>
      <c r="O183" s="425">
        <f t="shared" si="65"/>
        <v>13256.625574543956</v>
      </c>
    </row>
    <row r="184" spans="1:15" ht="15" customHeight="1" x14ac:dyDescent="0.3">
      <c r="A184" s="576" t="s">
        <v>11</v>
      </c>
      <c r="B184" s="577"/>
      <c r="C184" s="577"/>
      <c r="D184" s="577"/>
      <c r="E184" s="577"/>
      <c r="F184" s="577"/>
      <c r="G184" s="577"/>
      <c r="H184" s="577"/>
      <c r="I184" s="577"/>
      <c r="J184" s="578"/>
      <c r="K184" s="445">
        <f>SUM(K152:K181)</f>
        <v>11705688.091341967</v>
      </c>
      <c r="M184" s="432">
        <f>SUM(M152:M181)</f>
        <v>9276299.5545644853</v>
      </c>
      <c r="N184" s="432">
        <f>SUM(N152:N181)</f>
        <v>1672122.6664880181</v>
      </c>
      <c r="O184" s="432">
        <f>SUM(O152:O181)</f>
        <v>757265.8702894646</v>
      </c>
    </row>
    <row r="186" spans="1:15" ht="15" customHeight="1" x14ac:dyDescent="0.25">
      <c r="A186" s="573" t="s">
        <v>179</v>
      </c>
      <c r="B186" s="574"/>
      <c r="C186" s="574"/>
      <c r="D186" s="574"/>
      <c r="E186" s="574"/>
      <c r="F186" s="574"/>
      <c r="G186" s="574"/>
      <c r="H186" s="574"/>
      <c r="I186" s="574"/>
      <c r="J186" s="574"/>
      <c r="K186" s="575"/>
      <c r="M186" s="191"/>
      <c r="N186" s="191"/>
      <c r="O186" s="191"/>
    </row>
    <row r="187" spans="1:15" ht="15" customHeight="1" x14ac:dyDescent="0.3">
      <c r="A187" s="438" t="s">
        <v>145</v>
      </c>
      <c r="B187" s="438" t="s">
        <v>146</v>
      </c>
      <c r="C187" s="438" t="s">
        <v>147</v>
      </c>
      <c r="D187" s="438" t="s">
        <v>148</v>
      </c>
      <c r="E187" s="438" t="s">
        <v>149</v>
      </c>
      <c r="F187" s="438" t="s">
        <v>150</v>
      </c>
      <c r="G187" s="438" t="s">
        <v>155</v>
      </c>
      <c r="H187" s="438" t="s">
        <v>88</v>
      </c>
      <c r="I187" s="438" t="s">
        <v>156</v>
      </c>
      <c r="J187" s="438" t="s">
        <v>157</v>
      </c>
      <c r="K187" s="438" t="s">
        <v>158</v>
      </c>
      <c r="M187" s="415" t="s">
        <v>160</v>
      </c>
      <c r="N187" s="415" t="s">
        <v>160</v>
      </c>
      <c r="O187" s="415" t="s">
        <v>160</v>
      </c>
    </row>
    <row r="188" spans="1:15" ht="15" customHeight="1" x14ac:dyDescent="0.3">
      <c r="A188" s="446" t="s">
        <v>29</v>
      </c>
      <c r="B188" s="446" t="s">
        <v>30</v>
      </c>
      <c r="C188" s="446" t="s">
        <v>181</v>
      </c>
      <c r="D188" s="446" t="s">
        <v>182</v>
      </c>
      <c r="E188" s="446" t="s">
        <v>183</v>
      </c>
      <c r="F188" s="446" t="s">
        <v>184</v>
      </c>
      <c r="G188" s="446" t="s">
        <v>185</v>
      </c>
      <c r="H188" s="446" t="s">
        <v>186</v>
      </c>
      <c r="I188" s="446" t="s">
        <v>187</v>
      </c>
      <c r="J188" s="446" t="s">
        <v>188</v>
      </c>
      <c r="K188" s="447" t="s">
        <v>32</v>
      </c>
      <c r="M188" s="417" t="s">
        <v>189</v>
      </c>
      <c r="N188" s="417" t="s">
        <v>190</v>
      </c>
      <c r="O188" s="417" t="s">
        <v>191</v>
      </c>
    </row>
    <row r="189" spans="1:15" ht="15" customHeight="1" x14ac:dyDescent="0.3">
      <c r="A189" s="448">
        <v>0</v>
      </c>
      <c r="B189" s="441">
        <v>2018</v>
      </c>
      <c r="C189" s="421">
        <v>38390</v>
      </c>
      <c r="D189" s="30">
        <f>C189*365</f>
        <v>14012350</v>
      </c>
      <c r="E189" s="423">
        <v>0</v>
      </c>
      <c r="F189" s="426">
        <f t="shared" ref="F189:F220" si="73">D189*E189</f>
        <v>0</v>
      </c>
      <c r="G189" s="442">
        <f t="shared" ref="G189:G195" si="74">(F189)/100000000*9600000*0.932</f>
        <v>0</v>
      </c>
      <c r="H189" s="442">
        <f t="shared" ref="H189:H195" si="75">(F189)/100000000*9600000*0.003*56</f>
        <v>0</v>
      </c>
      <c r="I189" s="442">
        <f t="shared" ref="I189:I195" si="76">(F189)/100000000*166*4400</f>
        <v>0</v>
      </c>
      <c r="J189" s="442">
        <f>G189+H189+I189</f>
        <v>0</v>
      </c>
      <c r="K189" s="442">
        <f t="shared" ref="K189:K220" si="77">J189/(1+0.07)^A189</f>
        <v>0</v>
      </c>
      <c r="M189" s="425">
        <f>G189/(1+0.07)^$A189</f>
        <v>0</v>
      </c>
      <c r="N189" s="425">
        <f t="shared" ref="N189:N220" si="78">H189/(1+0.07)^$A189</f>
        <v>0</v>
      </c>
      <c r="O189" s="425">
        <f t="shared" ref="O189:O220" si="79">I189/(1+0.07)^$A189</f>
        <v>0</v>
      </c>
    </row>
    <row r="190" spans="1:15" ht="15" customHeight="1" x14ac:dyDescent="0.3">
      <c r="A190" s="448">
        <v>1</v>
      </c>
      <c r="B190" s="441">
        <f>1+B189</f>
        <v>2019</v>
      </c>
      <c r="C190" s="421">
        <v>38580</v>
      </c>
      <c r="D190" s="30">
        <f t="shared" ref="D190:D220" si="80">C190*365</f>
        <v>14081700</v>
      </c>
      <c r="E190" s="423">
        <v>0</v>
      </c>
      <c r="F190" s="426">
        <f t="shared" si="73"/>
        <v>0</v>
      </c>
      <c r="G190" s="442">
        <f t="shared" si="74"/>
        <v>0</v>
      </c>
      <c r="H190" s="442">
        <f t="shared" si="75"/>
        <v>0</v>
      </c>
      <c r="I190" s="442">
        <f t="shared" si="76"/>
        <v>0</v>
      </c>
      <c r="J190" s="442">
        <f t="shared" ref="J190:J220" si="81">G190+H190+I190</f>
        <v>0</v>
      </c>
      <c r="K190" s="442">
        <f t="shared" si="77"/>
        <v>0</v>
      </c>
      <c r="M190" s="425">
        <f t="shared" ref="M190:M220" si="82">G190/(1+0.07)^$A190</f>
        <v>0</v>
      </c>
      <c r="N190" s="425">
        <f t="shared" si="78"/>
        <v>0</v>
      </c>
      <c r="O190" s="425">
        <f t="shared" si="79"/>
        <v>0</v>
      </c>
    </row>
    <row r="191" spans="1:15" ht="15" customHeight="1" x14ac:dyDescent="0.3">
      <c r="A191" s="448">
        <v>2</v>
      </c>
      <c r="B191" s="441">
        <f t="shared" ref="B191:B220" si="83">1+B190</f>
        <v>2020</v>
      </c>
      <c r="C191" s="421">
        <v>38780</v>
      </c>
      <c r="D191" s="30">
        <f t="shared" si="80"/>
        <v>14154700</v>
      </c>
      <c r="E191" s="423">
        <v>0</v>
      </c>
      <c r="F191" s="426">
        <f t="shared" si="73"/>
        <v>0</v>
      </c>
      <c r="G191" s="442">
        <f t="shared" si="74"/>
        <v>0</v>
      </c>
      <c r="H191" s="442">
        <f t="shared" si="75"/>
        <v>0</v>
      </c>
      <c r="I191" s="442">
        <f t="shared" si="76"/>
        <v>0</v>
      </c>
      <c r="J191" s="442">
        <f t="shared" si="81"/>
        <v>0</v>
      </c>
      <c r="K191" s="442">
        <f t="shared" si="77"/>
        <v>0</v>
      </c>
      <c r="M191" s="425">
        <f t="shared" si="82"/>
        <v>0</v>
      </c>
      <c r="N191" s="425">
        <f t="shared" si="78"/>
        <v>0</v>
      </c>
      <c r="O191" s="425">
        <f t="shared" si="79"/>
        <v>0</v>
      </c>
    </row>
    <row r="192" spans="1:15" ht="15" customHeight="1" x14ac:dyDescent="0.3">
      <c r="A192" s="448">
        <v>3</v>
      </c>
      <c r="B192" s="441">
        <f t="shared" si="83"/>
        <v>2021</v>
      </c>
      <c r="C192" s="421">
        <v>38970</v>
      </c>
      <c r="D192" s="30">
        <f t="shared" si="80"/>
        <v>14224050</v>
      </c>
      <c r="E192" s="423">
        <v>0</v>
      </c>
      <c r="F192" s="426">
        <f t="shared" si="73"/>
        <v>0</v>
      </c>
      <c r="G192" s="442">
        <f t="shared" si="74"/>
        <v>0</v>
      </c>
      <c r="H192" s="442">
        <f t="shared" si="75"/>
        <v>0</v>
      </c>
      <c r="I192" s="442">
        <f t="shared" si="76"/>
        <v>0</v>
      </c>
      <c r="J192" s="442">
        <f t="shared" si="81"/>
        <v>0</v>
      </c>
      <c r="K192" s="442">
        <f t="shared" si="77"/>
        <v>0</v>
      </c>
      <c r="M192" s="425">
        <f t="shared" si="82"/>
        <v>0</v>
      </c>
      <c r="N192" s="425">
        <f t="shared" si="78"/>
        <v>0</v>
      </c>
      <c r="O192" s="425">
        <f t="shared" si="79"/>
        <v>0</v>
      </c>
    </row>
    <row r="193" spans="1:15" ht="15" customHeight="1" x14ac:dyDescent="0.3">
      <c r="A193" s="448">
        <v>4</v>
      </c>
      <c r="B193" s="441">
        <f t="shared" si="83"/>
        <v>2022</v>
      </c>
      <c r="C193" s="421">
        <v>39170</v>
      </c>
      <c r="D193" s="30">
        <f t="shared" si="80"/>
        <v>14297050</v>
      </c>
      <c r="E193" s="423">
        <v>0</v>
      </c>
      <c r="F193" s="426">
        <f t="shared" si="73"/>
        <v>0</v>
      </c>
      <c r="G193" s="442">
        <f t="shared" si="74"/>
        <v>0</v>
      </c>
      <c r="H193" s="442">
        <f t="shared" si="75"/>
        <v>0</v>
      </c>
      <c r="I193" s="442">
        <f t="shared" si="76"/>
        <v>0</v>
      </c>
      <c r="J193" s="442">
        <f t="shared" si="81"/>
        <v>0</v>
      </c>
      <c r="K193" s="442">
        <f t="shared" si="77"/>
        <v>0</v>
      </c>
      <c r="M193" s="425">
        <f t="shared" si="82"/>
        <v>0</v>
      </c>
      <c r="N193" s="425">
        <f t="shared" si="78"/>
        <v>0</v>
      </c>
      <c r="O193" s="425">
        <f t="shared" si="79"/>
        <v>0</v>
      </c>
    </row>
    <row r="194" spans="1:15" ht="15" customHeight="1" x14ac:dyDescent="0.3">
      <c r="A194" s="448">
        <v>5</v>
      </c>
      <c r="B194" s="441">
        <f t="shared" si="83"/>
        <v>2023</v>
      </c>
      <c r="C194" s="421">
        <v>39360</v>
      </c>
      <c r="D194" s="30">
        <f t="shared" si="80"/>
        <v>14366400</v>
      </c>
      <c r="E194" s="423">
        <v>0</v>
      </c>
      <c r="F194" s="426">
        <f t="shared" si="73"/>
        <v>0</v>
      </c>
      <c r="G194" s="442">
        <f t="shared" si="74"/>
        <v>0</v>
      </c>
      <c r="H194" s="442">
        <f t="shared" si="75"/>
        <v>0</v>
      </c>
      <c r="I194" s="442">
        <f t="shared" si="76"/>
        <v>0</v>
      </c>
      <c r="J194" s="442">
        <f t="shared" si="81"/>
        <v>0</v>
      </c>
      <c r="K194" s="442">
        <f t="shared" si="77"/>
        <v>0</v>
      </c>
      <c r="M194" s="425">
        <f t="shared" si="82"/>
        <v>0</v>
      </c>
      <c r="N194" s="425">
        <f t="shared" si="78"/>
        <v>0</v>
      </c>
      <c r="O194" s="425">
        <f t="shared" si="79"/>
        <v>0</v>
      </c>
    </row>
    <row r="195" spans="1:15" ht="15" customHeight="1" x14ac:dyDescent="0.3">
      <c r="A195" s="448">
        <v>6</v>
      </c>
      <c r="B195" s="441">
        <f t="shared" si="83"/>
        <v>2024</v>
      </c>
      <c r="C195" s="421">
        <v>39550</v>
      </c>
      <c r="D195" s="30">
        <f t="shared" si="80"/>
        <v>14435750</v>
      </c>
      <c r="E195" s="423">
        <v>0</v>
      </c>
      <c r="F195" s="426">
        <f t="shared" si="73"/>
        <v>0</v>
      </c>
      <c r="G195" s="442">
        <f t="shared" si="74"/>
        <v>0</v>
      </c>
      <c r="H195" s="442">
        <f t="shared" si="75"/>
        <v>0</v>
      </c>
      <c r="I195" s="442">
        <f t="shared" si="76"/>
        <v>0</v>
      </c>
      <c r="J195" s="442">
        <f t="shared" si="81"/>
        <v>0</v>
      </c>
      <c r="K195" s="442">
        <f t="shared" si="77"/>
        <v>0</v>
      </c>
      <c r="M195" s="425">
        <f t="shared" si="82"/>
        <v>0</v>
      </c>
      <c r="N195" s="425">
        <f t="shared" si="78"/>
        <v>0</v>
      </c>
      <c r="O195" s="425">
        <f t="shared" si="79"/>
        <v>0</v>
      </c>
    </row>
    <row r="196" spans="1:15" ht="15" customHeight="1" x14ac:dyDescent="0.3">
      <c r="A196" s="448">
        <v>7</v>
      </c>
      <c r="B196" s="441">
        <f t="shared" si="83"/>
        <v>2025</v>
      </c>
      <c r="C196" s="421">
        <v>39750</v>
      </c>
      <c r="D196" s="30">
        <f t="shared" si="80"/>
        <v>14508750</v>
      </c>
      <c r="E196" s="423">
        <v>0.7</v>
      </c>
      <c r="F196" s="426">
        <f t="shared" si="73"/>
        <v>10156125</v>
      </c>
      <c r="G196" s="442">
        <f>(F196)/100000000*9600000*0.932</f>
        <v>908688.81599999999</v>
      </c>
      <c r="H196" s="442">
        <f>(F196)/100000000*9600000*0.003*56</f>
        <v>163797.984</v>
      </c>
      <c r="I196" s="442">
        <f>(F196)/100000000*166*4400</f>
        <v>74180.337000000014</v>
      </c>
      <c r="J196" s="442">
        <f t="shared" si="81"/>
        <v>1146667.1370000001</v>
      </c>
      <c r="K196" s="442">
        <f t="shared" si="77"/>
        <v>714086.66359429318</v>
      </c>
      <c r="M196" s="425">
        <f t="shared" si="82"/>
        <v>565885.72561741469</v>
      </c>
      <c r="N196" s="425">
        <f t="shared" si="78"/>
        <v>102005.15225721638</v>
      </c>
      <c r="O196" s="425">
        <f t="shared" si="79"/>
        <v>46195.785719661995</v>
      </c>
    </row>
    <row r="197" spans="1:15" ht="15" customHeight="1" x14ac:dyDescent="0.3">
      <c r="A197" s="448">
        <v>8</v>
      </c>
      <c r="B197" s="441">
        <f t="shared" si="83"/>
        <v>2026</v>
      </c>
      <c r="C197" s="421">
        <v>39940</v>
      </c>
      <c r="D197" s="30">
        <f t="shared" si="80"/>
        <v>14578100</v>
      </c>
      <c r="E197" s="423">
        <v>0.7</v>
      </c>
      <c r="F197" s="426">
        <f t="shared" si="73"/>
        <v>10204670</v>
      </c>
      <c r="G197" s="442">
        <f t="shared" ref="G197:G220" si="84">(F197)/100000000*9600000*0.932</f>
        <v>913032.23424000014</v>
      </c>
      <c r="H197" s="442">
        <f t="shared" ref="H197:H220" si="85">(F197)/100000000*9600000*0.003*56</f>
        <v>164580.91776000001</v>
      </c>
      <c r="I197" s="442">
        <f t="shared" ref="I197:I220" si="86">(F197)/100000000*166*4400</f>
        <v>74534.909679999997</v>
      </c>
      <c r="J197" s="442">
        <f t="shared" si="81"/>
        <v>1152148.0616800003</v>
      </c>
      <c r="K197" s="442">
        <f t="shared" si="77"/>
        <v>670560.66170472163</v>
      </c>
      <c r="M197" s="425">
        <f t="shared" si="82"/>
        <v>531393.07308903895</v>
      </c>
      <c r="N197" s="425">
        <f t="shared" si="78"/>
        <v>95787.592573989838</v>
      </c>
      <c r="O197" s="425">
        <f t="shared" si="79"/>
        <v>43379.996041692815</v>
      </c>
    </row>
    <row r="198" spans="1:15" ht="15" customHeight="1" x14ac:dyDescent="0.3">
      <c r="A198" s="448">
        <v>9</v>
      </c>
      <c r="B198" s="441">
        <f t="shared" si="83"/>
        <v>2027</v>
      </c>
      <c r="C198" s="421">
        <v>40130</v>
      </c>
      <c r="D198" s="30">
        <f t="shared" si="80"/>
        <v>14647450</v>
      </c>
      <c r="E198" s="423">
        <v>0.7</v>
      </c>
      <c r="F198" s="426">
        <f t="shared" si="73"/>
        <v>10253215</v>
      </c>
      <c r="G198" s="442">
        <f t="shared" si="84"/>
        <v>917375.65248000005</v>
      </c>
      <c r="H198" s="442">
        <f t="shared" si="85"/>
        <v>165363.85152</v>
      </c>
      <c r="I198" s="442">
        <f t="shared" si="86"/>
        <v>74889.482359999995</v>
      </c>
      <c r="J198" s="442">
        <f t="shared" si="81"/>
        <v>1157628.98636</v>
      </c>
      <c r="K198" s="442">
        <f t="shared" si="77"/>
        <v>629673.46707468841</v>
      </c>
      <c r="M198" s="425">
        <f t="shared" si="82"/>
        <v>498991.57200902118</v>
      </c>
      <c r="N198" s="425">
        <f t="shared" si="78"/>
        <v>89946.978645402953</v>
      </c>
      <c r="O198" s="425">
        <f t="shared" si="79"/>
        <v>40734.91642026433</v>
      </c>
    </row>
    <row r="199" spans="1:15" ht="15" customHeight="1" x14ac:dyDescent="0.3">
      <c r="A199" s="448">
        <v>10</v>
      </c>
      <c r="B199" s="441">
        <f t="shared" si="83"/>
        <v>2028</v>
      </c>
      <c r="C199" s="421">
        <v>40330</v>
      </c>
      <c r="D199" s="30">
        <f t="shared" si="80"/>
        <v>14720450</v>
      </c>
      <c r="E199" s="423">
        <v>0.7</v>
      </c>
      <c r="F199" s="426">
        <f t="shared" si="73"/>
        <v>10304315</v>
      </c>
      <c r="G199" s="442">
        <f t="shared" si="84"/>
        <v>921947.67168000003</v>
      </c>
      <c r="H199" s="442">
        <f t="shared" si="85"/>
        <v>166187.99231999999</v>
      </c>
      <c r="I199" s="442">
        <f t="shared" si="86"/>
        <v>75262.716759999996</v>
      </c>
      <c r="J199" s="442">
        <f t="shared" si="81"/>
        <v>1163398.3807600001</v>
      </c>
      <c r="K199" s="442">
        <f t="shared" si="77"/>
        <v>591412.7433300229</v>
      </c>
      <c r="M199" s="425">
        <f t="shared" si="82"/>
        <v>468671.44628377922</v>
      </c>
      <c r="N199" s="425">
        <f t="shared" si="78"/>
        <v>84481.548257161907</v>
      </c>
      <c r="O199" s="425">
        <f t="shared" si="79"/>
        <v>38259.748789081757</v>
      </c>
    </row>
    <row r="200" spans="1:15" ht="15" customHeight="1" x14ac:dyDescent="0.3">
      <c r="A200" s="448">
        <v>11</v>
      </c>
      <c r="B200" s="441">
        <f t="shared" si="83"/>
        <v>2029</v>
      </c>
      <c r="C200" s="421">
        <v>40520</v>
      </c>
      <c r="D200" s="30">
        <f t="shared" si="80"/>
        <v>14789800</v>
      </c>
      <c r="E200" s="423">
        <v>0.7</v>
      </c>
      <c r="F200" s="426">
        <f t="shared" si="73"/>
        <v>10352860</v>
      </c>
      <c r="G200" s="442">
        <f t="shared" si="84"/>
        <v>926291.08991999994</v>
      </c>
      <c r="H200" s="442">
        <f t="shared" si="85"/>
        <v>166970.92607999998</v>
      </c>
      <c r="I200" s="442">
        <f t="shared" si="86"/>
        <v>75617.289439999993</v>
      </c>
      <c r="J200" s="442">
        <f t="shared" si="81"/>
        <v>1168879.3054399998</v>
      </c>
      <c r="K200" s="442">
        <f t="shared" si="77"/>
        <v>555326.13786106952</v>
      </c>
      <c r="M200" s="425">
        <f t="shared" si="82"/>
        <v>440074.22417899827</v>
      </c>
      <c r="N200" s="425">
        <f t="shared" si="78"/>
        <v>79326.684186772211</v>
      </c>
      <c r="O200" s="425">
        <f t="shared" si="79"/>
        <v>35925.229495299121</v>
      </c>
    </row>
    <row r="201" spans="1:15" ht="15" customHeight="1" x14ac:dyDescent="0.3">
      <c r="A201" s="448">
        <v>12</v>
      </c>
      <c r="B201" s="441">
        <f t="shared" si="83"/>
        <v>2030</v>
      </c>
      <c r="C201" s="421">
        <v>40720</v>
      </c>
      <c r="D201" s="30">
        <f t="shared" si="80"/>
        <v>14862800</v>
      </c>
      <c r="E201" s="423">
        <v>0.7</v>
      </c>
      <c r="F201" s="426">
        <f t="shared" si="73"/>
        <v>10403960</v>
      </c>
      <c r="G201" s="442">
        <f t="shared" si="84"/>
        <v>930863.10911999992</v>
      </c>
      <c r="H201" s="442">
        <f t="shared" si="85"/>
        <v>167795.06688</v>
      </c>
      <c r="I201" s="442">
        <f t="shared" si="86"/>
        <v>75990.523839999994</v>
      </c>
      <c r="J201" s="442">
        <f t="shared" si="81"/>
        <v>1174648.6998399999</v>
      </c>
      <c r="K201" s="442">
        <f t="shared" si="77"/>
        <v>521558.07063554076</v>
      </c>
      <c r="M201" s="425">
        <f t="shared" si="82"/>
        <v>413314.35286529351</v>
      </c>
      <c r="N201" s="425">
        <f t="shared" si="78"/>
        <v>74503.016396319013</v>
      </c>
      <c r="O201" s="425">
        <f t="shared" si="79"/>
        <v>33740.701373928197</v>
      </c>
    </row>
    <row r="202" spans="1:15" ht="15" customHeight="1" x14ac:dyDescent="0.3">
      <c r="A202" s="448">
        <v>13</v>
      </c>
      <c r="B202" s="441">
        <f t="shared" si="83"/>
        <v>2031</v>
      </c>
      <c r="C202" s="421">
        <v>40910</v>
      </c>
      <c r="D202" s="30">
        <f t="shared" si="80"/>
        <v>14932150</v>
      </c>
      <c r="E202" s="423">
        <v>0.7</v>
      </c>
      <c r="F202" s="426">
        <f t="shared" si="73"/>
        <v>10452505</v>
      </c>
      <c r="G202" s="442">
        <f t="shared" si="84"/>
        <v>935206.52736000007</v>
      </c>
      <c r="H202" s="442">
        <f t="shared" si="85"/>
        <v>168578.00064000001</v>
      </c>
      <c r="I202" s="442">
        <f t="shared" si="86"/>
        <v>76345.096519999992</v>
      </c>
      <c r="J202" s="442">
        <f t="shared" si="81"/>
        <v>1180129.6245200001</v>
      </c>
      <c r="K202" s="442">
        <f t="shared" si="77"/>
        <v>489711.83807584905</v>
      </c>
      <c r="M202" s="425">
        <f t="shared" si="82"/>
        <v>388077.46028769895</v>
      </c>
      <c r="N202" s="425">
        <f t="shared" si="78"/>
        <v>69953.876961731148</v>
      </c>
      <c r="O202" s="425">
        <f t="shared" si="79"/>
        <v>31680.500826418913</v>
      </c>
    </row>
    <row r="203" spans="1:15" ht="15" customHeight="1" x14ac:dyDescent="0.3">
      <c r="A203" s="448">
        <v>14</v>
      </c>
      <c r="B203" s="441">
        <f t="shared" si="83"/>
        <v>2032</v>
      </c>
      <c r="C203" s="421">
        <v>41100</v>
      </c>
      <c r="D203" s="30">
        <f t="shared" si="80"/>
        <v>15001500</v>
      </c>
      <c r="E203" s="423">
        <v>0.7</v>
      </c>
      <c r="F203" s="426">
        <f t="shared" si="73"/>
        <v>10501050</v>
      </c>
      <c r="G203" s="442">
        <f t="shared" si="84"/>
        <v>939549.94560000009</v>
      </c>
      <c r="H203" s="442">
        <f t="shared" si="85"/>
        <v>169360.9344</v>
      </c>
      <c r="I203" s="442">
        <f t="shared" si="86"/>
        <v>76699.669200000004</v>
      </c>
      <c r="J203" s="442">
        <f t="shared" si="81"/>
        <v>1185610.5492000002</v>
      </c>
      <c r="K203" s="442">
        <f t="shared" si="77"/>
        <v>459800.21211177943</v>
      </c>
      <c r="M203" s="425">
        <f t="shared" si="82"/>
        <v>364373.66770056973</v>
      </c>
      <c r="N203" s="425">
        <f t="shared" si="78"/>
        <v>65681.090315124151</v>
      </c>
      <c r="O203" s="425">
        <f t="shared" si="79"/>
        <v>29745.454096085494</v>
      </c>
    </row>
    <row r="204" spans="1:15" ht="15" customHeight="1" x14ac:dyDescent="0.3">
      <c r="A204" s="448">
        <v>15</v>
      </c>
      <c r="B204" s="441">
        <f t="shared" si="83"/>
        <v>2033</v>
      </c>
      <c r="C204" s="421">
        <v>41300</v>
      </c>
      <c r="D204" s="30">
        <f t="shared" si="80"/>
        <v>15074500</v>
      </c>
      <c r="E204" s="423">
        <v>0.7</v>
      </c>
      <c r="F204" s="426">
        <f t="shared" si="73"/>
        <v>10552150</v>
      </c>
      <c r="G204" s="442">
        <f t="shared" si="84"/>
        <v>944121.96480000007</v>
      </c>
      <c r="H204" s="442">
        <f t="shared" si="85"/>
        <v>170185.07520000002</v>
      </c>
      <c r="I204" s="442">
        <f t="shared" si="86"/>
        <v>77072.903600000005</v>
      </c>
      <c r="J204" s="442">
        <f t="shared" si="81"/>
        <v>1191379.9436000001</v>
      </c>
      <c r="K204" s="442">
        <f t="shared" si="77"/>
        <v>431810.918439559</v>
      </c>
      <c r="M204" s="425">
        <f t="shared" si="82"/>
        <v>342193.24819868401</v>
      </c>
      <c r="N204" s="425">
        <f t="shared" si="78"/>
        <v>61682.903108775667</v>
      </c>
      <c r="O204" s="425">
        <f t="shared" si="79"/>
        <v>27934.767132099296</v>
      </c>
    </row>
    <row r="205" spans="1:15" ht="15" customHeight="1" x14ac:dyDescent="0.3">
      <c r="A205" s="448">
        <v>16</v>
      </c>
      <c r="B205" s="441">
        <f t="shared" si="83"/>
        <v>2034</v>
      </c>
      <c r="C205" s="421">
        <v>41490</v>
      </c>
      <c r="D205" s="30">
        <f t="shared" si="80"/>
        <v>15143850</v>
      </c>
      <c r="E205" s="423">
        <v>0.7</v>
      </c>
      <c r="F205" s="426">
        <f t="shared" si="73"/>
        <v>10600695</v>
      </c>
      <c r="G205" s="442">
        <f t="shared" si="84"/>
        <v>948465.38303999999</v>
      </c>
      <c r="H205" s="442">
        <f t="shared" si="85"/>
        <v>170968.00896000001</v>
      </c>
      <c r="I205" s="442">
        <f t="shared" si="86"/>
        <v>77427.476280000003</v>
      </c>
      <c r="J205" s="442">
        <f t="shared" si="81"/>
        <v>1196860.8682800001</v>
      </c>
      <c r="K205" s="442">
        <f t="shared" si="77"/>
        <v>405418.18483531271</v>
      </c>
      <c r="M205" s="425">
        <f t="shared" si="82"/>
        <v>321278.04004805052</v>
      </c>
      <c r="N205" s="425">
        <f t="shared" si="78"/>
        <v>57912.779751150745</v>
      </c>
      <c r="O205" s="425">
        <f t="shared" si="79"/>
        <v>26227.365036111423</v>
      </c>
    </row>
    <row r="206" spans="1:15" ht="15" customHeight="1" x14ac:dyDescent="0.3">
      <c r="A206" s="448">
        <v>17</v>
      </c>
      <c r="B206" s="441">
        <f t="shared" si="83"/>
        <v>2035</v>
      </c>
      <c r="C206" s="421">
        <v>41690</v>
      </c>
      <c r="D206" s="30">
        <f t="shared" si="80"/>
        <v>15216850</v>
      </c>
      <c r="E206" s="423">
        <v>0.7</v>
      </c>
      <c r="F206" s="426">
        <f t="shared" si="73"/>
        <v>10651795</v>
      </c>
      <c r="G206" s="442">
        <f t="shared" si="84"/>
        <v>953037.40223999997</v>
      </c>
      <c r="H206" s="442">
        <f t="shared" si="85"/>
        <v>171792.14976</v>
      </c>
      <c r="I206" s="442">
        <f t="shared" si="86"/>
        <v>77800.710680000004</v>
      </c>
      <c r="J206" s="442">
        <f t="shared" si="81"/>
        <v>1202630.2626799999</v>
      </c>
      <c r="K206" s="442">
        <f t="shared" si="77"/>
        <v>380721.94236161368</v>
      </c>
      <c r="M206" s="425">
        <f t="shared" si="82"/>
        <v>301707.23470362695</v>
      </c>
      <c r="N206" s="425">
        <f t="shared" si="78"/>
        <v>54384.995096791128</v>
      </c>
      <c r="O206" s="425">
        <f t="shared" si="79"/>
        <v>24629.712561195585</v>
      </c>
    </row>
    <row r="207" spans="1:15" ht="15" customHeight="1" x14ac:dyDescent="0.3">
      <c r="A207" s="448">
        <v>18</v>
      </c>
      <c r="B207" s="441">
        <f t="shared" si="83"/>
        <v>2036</v>
      </c>
      <c r="C207" s="421">
        <v>41880</v>
      </c>
      <c r="D207" s="30">
        <f t="shared" si="80"/>
        <v>15286200</v>
      </c>
      <c r="E207" s="423">
        <v>0.7</v>
      </c>
      <c r="F207" s="426">
        <f t="shared" si="73"/>
        <v>10700340</v>
      </c>
      <c r="G207" s="442">
        <f t="shared" si="84"/>
        <v>957380.82048000011</v>
      </c>
      <c r="H207" s="442">
        <f t="shared" si="85"/>
        <v>172575.08352000001</v>
      </c>
      <c r="I207" s="442">
        <f t="shared" si="86"/>
        <v>78155.283360000001</v>
      </c>
      <c r="J207" s="442">
        <f t="shared" si="81"/>
        <v>1208111.1873600001</v>
      </c>
      <c r="K207" s="442">
        <f t="shared" si="77"/>
        <v>357436.50724426581</v>
      </c>
      <c r="M207" s="425">
        <f t="shared" si="82"/>
        <v>283254.43895839783</v>
      </c>
      <c r="N207" s="425">
        <f t="shared" si="78"/>
        <v>51058.740069754116</v>
      </c>
      <c r="O207" s="425">
        <f t="shared" si="79"/>
        <v>23123.328216113841</v>
      </c>
    </row>
    <row r="208" spans="1:15" ht="15" customHeight="1" x14ac:dyDescent="0.3">
      <c r="A208" s="448">
        <v>19</v>
      </c>
      <c r="B208" s="441">
        <f t="shared" si="83"/>
        <v>2037</v>
      </c>
      <c r="C208" s="421">
        <v>42070</v>
      </c>
      <c r="D208" s="30">
        <f t="shared" si="80"/>
        <v>15355550</v>
      </c>
      <c r="E208" s="423">
        <v>0.7</v>
      </c>
      <c r="F208" s="426">
        <f t="shared" si="73"/>
        <v>10748885</v>
      </c>
      <c r="G208" s="442">
        <f t="shared" si="84"/>
        <v>961724.23872000002</v>
      </c>
      <c r="H208" s="442">
        <f t="shared" si="85"/>
        <v>173358.01728</v>
      </c>
      <c r="I208" s="442">
        <f t="shared" si="86"/>
        <v>78509.856039999984</v>
      </c>
      <c r="J208" s="442">
        <f t="shared" si="81"/>
        <v>1213592.11204</v>
      </c>
      <c r="K208" s="442">
        <f t="shared" si="77"/>
        <v>335568.33185528434</v>
      </c>
      <c r="M208" s="425">
        <f t="shared" si="82"/>
        <v>265924.76606458589</v>
      </c>
      <c r="N208" s="425">
        <f t="shared" si="78"/>
        <v>47934.936372157106</v>
      </c>
      <c r="O208" s="425">
        <f t="shared" si="79"/>
        <v>21708.629418541383</v>
      </c>
    </row>
    <row r="209" spans="1:18" ht="15" customHeight="1" x14ac:dyDescent="0.3">
      <c r="A209" s="448">
        <v>20</v>
      </c>
      <c r="B209" s="441">
        <f t="shared" si="83"/>
        <v>2038</v>
      </c>
      <c r="C209" s="421">
        <v>42270</v>
      </c>
      <c r="D209" s="30">
        <f t="shared" si="80"/>
        <v>15428550</v>
      </c>
      <c r="E209" s="423">
        <v>0.7</v>
      </c>
      <c r="F209" s="426">
        <f t="shared" si="73"/>
        <v>10799985</v>
      </c>
      <c r="G209" s="442">
        <f t="shared" si="84"/>
        <v>966296.25792</v>
      </c>
      <c r="H209" s="442">
        <f t="shared" si="85"/>
        <v>174182.15807999999</v>
      </c>
      <c r="I209" s="442">
        <f t="shared" si="86"/>
        <v>78883.090439999985</v>
      </c>
      <c r="J209" s="442">
        <f t="shared" si="81"/>
        <v>1219361.5064399999</v>
      </c>
      <c r="K209" s="442">
        <f t="shared" si="77"/>
        <v>315106.1845638415</v>
      </c>
      <c r="M209" s="425">
        <f t="shared" si="82"/>
        <v>249709.31539445926</v>
      </c>
      <c r="N209" s="425">
        <f t="shared" si="78"/>
        <v>45011.979599001243</v>
      </c>
      <c r="O209" s="425">
        <f t="shared" si="79"/>
        <v>20384.889570381016</v>
      </c>
    </row>
    <row r="210" spans="1:18" ht="15" customHeight="1" x14ac:dyDescent="0.3">
      <c r="A210" s="448">
        <v>21</v>
      </c>
      <c r="B210" s="441">
        <f t="shared" si="83"/>
        <v>2039</v>
      </c>
      <c r="C210" s="421">
        <v>42460</v>
      </c>
      <c r="D210" s="30">
        <f t="shared" si="80"/>
        <v>15497900</v>
      </c>
      <c r="E210" s="423">
        <v>0.7</v>
      </c>
      <c r="F210" s="426">
        <f t="shared" si="73"/>
        <v>10848530</v>
      </c>
      <c r="G210" s="442">
        <f t="shared" si="84"/>
        <v>970639.67616000015</v>
      </c>
      <c r="H210" s="442">
        <f t="shared" si="85"/>
        <v>174965.09184000001</v>
      </c>
      <c r="I210" s="442">
        <f t="shared" si="86"/>
        <v>79237.663119999997</v>
      </c>
      <c r="J210" s="442">
        <f t="shared" si="81"/>
        <v>1224842.4311200001</v>
      </c>
      <c r="K210" s="442">
        <f t="shared" si="77"/>
        <v>295815.47631228511</v>
      </c>
      <c r="M210" s="425">
        <f t="shared" si="82"/>
        <v>234422.18430359222</v>
      </c>
      <c r="N210" s="425">
        <f t="shared" si="78"/>
        <v>42256.359402364258</v>
      </c>
      <c r="O210" s="425">
        <f t="shared" si="79"/>
        <v>19136.932606328653</v>
      </c>
    </row>
    <row r="211" spans="1:18" ht="15" customHeight="1" x14ac:dyDescent="0.3">
      <c r="A211" s="448">
        <v>22</v>
      </c>
      <c r="B211" s="441">
        <f t="shared" si="83"/>
        <v>2040</v>
      </c>
      <c r="C211" s="421">
        <v>42660</v>
      </c>
      <c r="D211" s="30">
        <f t="shared" si="80"/>
        <v>15570900</v>
      </c>
      <c r="E211" s="423">
        <v>0.7</v>
      </c>
      <c r="F211" s="426">
        <f t="shared" si="73"/>
        <v>10899630</v>
      </c>
      <c r="G211" s="442">
        <f t="shared" si="84"/>
        <v>975211.69536000013</v>
      </c>
      <c r="H211" s="442">
        <f t="shared" si="85"/>
        <v>175789.23264000003</v>
      </c>
      <c r="I211" s="442">
        <f t="shared" si="86"/>
        <v>79610.897519999999</v>
      </c>
      <c r="J211" s="442">
        <f t="shared" si="81"/>
        <v>1230611.82552</v>
      </c>
      <c r="K211" s="442">
        <f t="shared" si="77"/>
        <v>277765.29024529038</v>
      </c>
      <c r="M211" s="425">
        <f t="shared" si="82"/>
        <v>220118.11847965195</v>
      </c>
      <c r="N211" s="425">
        <f t="shared" si="78"/>
        <v>39677.944103628251</v>
      </c>
      <c r="O211" s="425">
        <f t="shared" si="79"/>
        <v>17969.227662010213</v>
      </c>
    </row>
    <row r="212" spans="1:18" ht="15" customHeight="1" x14ac:dyDescent="0.3">
      <c r="A212" s="448">
        <v>23</v>
      </c>
      <c r="B212" s="441">
        <f t="shared" si="83"/>
        <v>2041</v>
      </c>
      <c r="C212" s="421">
        <v>42850</v>
      </c>
      <c r="D212" s="30">
        <f t="shared" si="80"/>
        <v>15640250</v>
      </c>
      <c r="E212" s="423">
        <v>0.7</v>
      </c>
      <c r="F212" s="426">
        <f t="shared" si="73"/>
        <v>10948175</v>
      </c>
      <c r="G212" s="442">
        <f t="shared" si="84"/>
        <v>979555.11360000004</v>
      </c>
      <c r="H212" s="442">
        <f t="shared" si="85"/>
        <v>176572.16640000002</v>
      </c>
      <c r="I212" s="442">
        <f t="shared" si="86"/>
        <v>79965.470199999996</v>
      </c>
      <c r="J212" s="442">
        <f t="shared" si="81"/>
        <v>1236092.7502000001</v>
      </c>
      <c r="K212" s="442">
        <f t="shared" si="77"/>
        <v>260749.91318030184</v>
      </c>
      <c r="M212" s="425">
        <f t="shared" si="82"/>
        <v>206634.09827878521</v>
      </c>
      <c r="N212" s="425">
        <f t="shared" si="78"/>
        <v>37247.348187592186</v>
      </c>
      <c r="O212" s="425">
        <f t="shared" si="79"/>
        <v>16868.466713924434</v>
      </c>
    </row>
    <row r="213" spans="1:18" ht="15" customHeight="1" x14ac:dyDescent="0.3">
      <c r="A213" s="448">
        <v>24</v>
      </c>
      <c r="B213" s="441">
        <f t="shared" si="83"/>
        <v>2042</v>
      </c>
      <c r="C213" s="421">
        <v>43040</v>
      </c>
      <c r="D213" s="30">
        <f t="shared" si="80"/>
        <v>15709600</v>
      </c>
      <c r="E213" s="423">
        <v>0.7</v>
      </c>
      <c r="F213" s="426">
        <f t="shared" si="73"/>
        <v>10996720</v>
      </c>
      <c r="G213" s="442">
        <f t="shared" si="84"/>
        <v>983898.53184000019</v>
      </c>
      <c r="H213" s="442">
        <f t="shared" si="85"/>
        <v>177355.10016000003</v>
      </c>
      <c r="I213" s="442">
        <f t="shared" si="86"/>
        <v>80320.042879999994</v>
      </c>
      <c r="J213" s="442">
        <f t="shared" si="81"/>
        <v>1241573.6748800003</v>
      </c>
      <c r="K213" s="442">
        <f t="shared" si="77"/>
        <v>244772.05341999786</v>
      </c>
      <c r="M213" s="425">
        <f t="shared" si="82"/>
        <v>193972.26992483923</v>
      </c>
      <c r="N213" s="425">
        <f t="shared" si="78"/>
        <v>34964.95852722424</v>
      </c>
      <c r="O213" s="425">
        <f t="shared" si="79"/>
        <v>15834.824967934386</v>
      </c>
    </row>
    <row r="214" spans="1:18" ht="15" customHeight="1" x14ac:dyDescent="0.3">
      <c r="A214" s="448">
        <v>25</v>
      </c>
      <c r="B214" s="441">
        <f t="shared" si="83"/>
        <v>2043</v>
      </c>
      <c r="C214" s="421">
        <v>43240</v>
      </c>
      <c r="D214" s="30">
        <f t="shared" si="80"/>
        <v>15782600</v>
      </c>
      <c r="E214" s="423">
        <v>0.7</v>
      </c>
      <c r="F214" s="426">
        <f t="shared" si="73"/>
        <v>11047820</v>
      </c>
      <c r="G214" s="442">
        <f t="shared" si="84"/>
        <v>988470.55104000005</v>
      </c>
      <c r="H214" s="442">
        <f t="shared" si="85"/>
        <v>178179.24096</v>
      </c>
      <c r="I214" s="442">
        <f t="shared" si="86"/>
        <v>80693.277279999995</v>
      </c>
      <c r="J214" s="442">
        <f t="shared" si="81"/>
        <v>1247343.0692800002</v>
      </c>
      <c r="K214" s="442">
        <f t="shared" si="77"/>
        <v>229821.93460290594</v>
      </c>
      <c r="M214" s="425">
        <f t="shared" si="82"/>
        <v>182124.88603407494</v>
      </c>
      <c r="N214" s="425">
        <f t="shared" si="78"/>
        <v>32829.378598416937</v>
      </c>
      <c r="O214" s="425">
        <f t="shared" si="79"/>
        <v>14867.669970414021</v>
      </c>
    </row>
    <row r="215" spans="1:18" ht="15" customHeight="1" x14ac:dyDescent="0.3">
      <c r="A215" s="448">
        <v>26</v>
      </c>
      <c r="B215" s="441">
        <f t="shared" si="83"/>
        <v>2044</v>
      </c>
      <c r="C215" s="421">
        <v>43430</v>
      </c>
      <c r="D215" s="30">
        <f t="shared" si="80"/>
        <v>15851950</v>
      </c>
      <c r="E215" s="423">
        <v>0.7</v>
      </c>
      <c r="F215" s="426">
        <f t="shared" si="73"/>
        <v>11096365</v>
      </c>
      <c r="G215" s="442">
        <f t="shared" si="84"/>
        <v>992813.96928000008</v>
      </c>
      <c r="H215" s="442">
        <f t="shared" si="85"/>
        <v>178962.17472000001</v>
      </c>
      <c r="I215" s="442">
        <f t="shared" si="86"/>
        <v>81047.849960000007</v>
      </c>
      <c r="J215" s="442">
        <f t="shared" si="81"/>
        <v>1252823.9939600001</v>
      </c>
      <c r="K215" s="442">
        <f t="shared" si="77"/>
        <v>215730.64529650213</v>
      </c>
      <c r="M215" s="425">
        <f t="shared" si="82"/>
        <v>170958.09090881314</v>
      </c>
      <c r="N215" s="425">
        <f t="shared" si="78"/>
        <v>30816.479906309665</v>
      </c>
      <c r="O215" s="425">
        <f t="shared" si="79"/>
        <v>13956.074481379328</v>
      </c>
    </row>
    <row r="216" spans="1:18" ht="15" customHeight="1" x14ac:dyDescent="0.3">
      <c r="A216" s="448">
        <v>27</v>
      </c>
      <c r="B216" s="441">
        <f t="shared" si="83"/>
        <v>2045</v>
      </c>
      <c r="C216" s="421">
        <v>43620</v>
      </c>
      <c r="D216" s="30">
        <f t="shared" si="80"/>
        <v>15921300</v>
      </c>
      <c r="E216" s="423">
        <v>0.7</v>
      </c>
      <c r="F216" s="426">
        <f t="shared" si="73"/>
        <v>11144910</v>
      </c>
      <c r="G216" s="442">
        <f t="shared" si="84"/>
        <v>997157.38751999999</v>
      </c>
      <c r="H216" s="442">
        <f t="shared" si="85"/>
        <v>179745.10848</v>
      </c>
      <c r="I216" s="442">
        <f t="shared" si="86"/>
        <v>81402.422640000004</v>
      </c>
      <c r="J216" s="442">
        <f t="shared" si="81"/>
        <v>1258304.91864</v>
      </c>
      <c r="K216" s="442">
        <f t="shared" si="77"/>
        <v>202499.4727326479</v>
      </c>
      <c r="M216" s="425">
        <f t="shared" si="82"/>
        <v>160472.90462991101</v>
      </c>
      <c r="N216" s="425">
        <f t="shared" si="78"/>
        <v>28926.446328138463</v>
      </c>
      <c r="O216" s="425">
        <f t="shared" si="79"/>
        <v>13100.121774598421</v>
      </c>
    </row>
    <row r="217" spans="1:18" ht="15" customHeight="1" x14ac:dyDescent="0.3">
      <c r="A217" s="448">
        <v>28</v>
      </c>
      <c r="B217" s="441">
        <f t="shared" si="83"/>
        <v>2046</v>
      </c>
      <c r="C217" s="421">
        <v>43820</v>
      </c>
      <c r="D217" s="30">
        <f t="shared" si="80"/>
        <v>15994300</v>
      </c>
      <c r="E217" s="423">
        <v>0.7</v>
      </c>
      <c r="F217" s="426">
        <f t="shared" si="73"/>
        <v>11196010</v>
      </c>
      <c r="G217" s="442">
        <f t="shared" si="84"/>
        <v>1001729.40672</v>
      </c>
      <c r="H217" s="442">
        <f t="shared" si="85"/>
        <v>180569.24927999999</v>
      </c>
      <c r="I217" s="442">
        <f t="shared" si="86"/>
        <v>81775.657040000006</v>
      </c>
      <c r="J217" s="442">
        <f t="shared" si="81"/>
        <v>1264074.3130399999</v>
      </c>
      <c r="K217" s="442">
        <f t="shared" si="77"/>
        <v>190119.5733575148</v>
      </c>
      <c r="M217" s="425">
        <f t="shared" si="82"/>
        <v>150662.31902716967</v>
      </c>
      <c r="N217" s="425">
        <f t="shared" si="78"/>
        <v>27158.014588588525</v>
      </c>
      <c r="O217" s="425">
        <f t="shared" si="79"/>
        <v>12299.23974175661</v>
      </c>
    </row>
    <row r="218" spans="1:18" ht="15" customHeight="1" x14ac:dyDescent="0.3">
      <c r="A218" s="443">
        <v>29</v>
      </c>
      <c r="B218" s="441">
        <f t="shared" si="83"/>
        <v>2047</v>
      </c>
      <c r="C218" s="421">
        <v>44010</v>
      </c>
      <c r="D218" s="30">
        <f t="shared" si="80"/>
        <v>16063650</v>
      </c>
      <c r="E218" s="423">
        <v>0.7</v>
      </c>
      <c r="F218" s="444">
        <f t="shared" si="73"/>
        <v>11244555</v>
      </c>
      <c r="G218" s="442">
        <f t="shared" si="84"/>
        <v>1006072.8249600001</v>
      </c>
      <c r="H218" s="442">
        <f t="shared" si="85"/>
        <v>181352.18304</v>
      </c>
      <c r="I218" s="442">
        <f t="shared" si="86"/>
        <v>82130.229720000003</v>
      </c>
      <c r="J218" s="442">
        <f t="shared" si="81"/>
        <v>1269555.2377200001</v>
      </c>
      <c r="K218" s="442">
        <f t="shared" si="77"/>
        <v>178452.25846313141</v>
      </c>
      <c r="M218" s="425">
        <f t="shared" si="82"/>
        <v>141416.42872894931</v>
      </c>
      <c r="N218" s="425">
        <f t="shared" si="78"/>
        <v>25491.373418952233</v>
      </c>
      <c r="O218" s="425">
        <f t="shared" si="79"/>
        <v>11544.456315229856</v>
      </c>
    </row>
    <row r="219" spans="1:18" ht="15" customHeight="1" x14ac:dyDescent="0.3">
      <c r="A219" s="448">
        <f>1+A218</f>
        <v>30</v>
      </c>
      <c r="B219" s="441">
        <f t="shared" si="83"/>
        <v>2048</v>
      </c>
      <c r="C219" s="421">
        <v>44210</v>
      </c>
      <c r="D219" s="30">
        <f t="shared" si="80"/>
        <v>16136650</v>
      </c>
      <c r="E219" s="423">
        <v>0.7</v>
      </c>
      <c r="F219" s="426">
        <f t="shared" si="73"/>
        <v>11295655</v>
      </c>
      <c r="G219" s="442">
        <f t="shared" si="84"/>
        <v>1010644.8441600002</v>
      </c>
      <c r="H219" s="442">
        <f t="shared" si="85"/>
        <v>182176.32384000003</v>
      </c>
      <c r="I219" s="442">
        <f t="shared" si="86"/>
        <v>82503.46411999999</v>
      </c>
      <c r="J219" s="442">
        <f t="shared" si="81"/>
        <v>1275324.6321200002</v>
      </c>
      <c r="K219" s="442">
        <f t="shared" si="77"/>
        <v>167535.72035784222</v>
      </c>
      <c r="M219" s="425">
        <f t="shared" si="82"/>
        <v>132765.49964444889</v>
      </c>
      <c r="N219" s="425">
        <f t="shared" si="78"/>
        <v>23931.978476681776</v>
      </c>
      <c r="O219" s="425">
        <f t="shared" si="79"/>
        <v>10838.242236711536</v>
      </c>
    </row>
    <row r="220" spans="1:18" ht="15" customHeight="1" x14ac:dyDescent="0.3">
      <c r="A220" s="443">
        <f>1+A219</f>
        <v>31</v>
      </c>
      <c r="B220" s="441">
        <f t="shared" si="83"/>
        <v>2049</v>
      </c>
      <c r="C220" s="421">
        <v>44210</v>
      </c>
      <c r="D220" s="30">
        <f t="shared" si="80"/>
        <v>16136650</v>
      </c>
      <c r="E220" s="423">
        <v>0.7</v>
      </c>
      <c r="F220" s="444">
        <f t="shared" si="73"/>
        <v>11295655</v>
      </c>
      <c r="G220" s="442">
        <f t="shared" si="84"/>
        <v>1010644.8441600002</v>
      </c>
      <c r="H220" s="442">
        <f t="shared" si="85"/>
        <v>182176.32384000003</v>
      </c>
      <c r="I220" s="442">
        <f t="shared" si="86"/>
        <v>82503.46411999999</v>
      </c>
      <c r="J220" s="442">
        <f t="shared" si="81"/>
        <v>1275324.6321200002</v>
      </c>
      <c r="K220" s="442">
        <f t="shared" si="77"/>
        <v>156575.43958676839</v>
      </c>
      <c r="M220" s="425">
        <f t="shared" si="82"/>
        <v>124079.90620976531</v>
      </c>
      <c r="N220" s="425">
        <f t="shared" si="78"/>
        <v>22366.335024936234</v>
      </c>
      <c r="O220" s="425">
        <f t="shared" si="79"/>
        <v>10129.198352066853</v>
      </c>
    </row>
    <row r="221" spans="1:18" ht="15" customHeight="1" x14ac:dyDescent="0.3">
      <c r="A221" s="576" t="s">
        <v>11</v>
      </c>
      <c r="B221" s="577"/>
      <c r="C221" s="577"/>
      <c r="D221" s="577"/>
      <c r="E221" s="577"/>
      <c r="F221" s="577"/>
      <c r="G221" s="577"/>
      <c r="H221" s="577"/>
      <c r="I221" s="577"/>
      <c r="J221" s="578"/>
      <c r="K221" s="445">
        <f>SUM(K189:K218)</f>
        <v>8953918.4812984187</v>
      </c>
      <c r="M221" s="432">
        <f>SUM(M189:M218)</f>
        <v>7095629.8657154068</v>
      </c>
      <c r="N221" s="432">
        <f>SUM(N189:N218)</f>
        <v>1279040.576652562</v>
      </c>
      <c r="O221" s="432">
        <f>SUM(O189:O218)</f>
        <v>579248.03893045115</v>
      </c>
    </row>
    <row r="223" spans="1:18" s="2" customFormat="1" ht="21" customHeight="1" x14ac:dyDescent="0.25">
      <c r="A223" s="579" t="s">
        <v>180</v>
      </c>
      <c r="B223" s="580"/>
      <c r="C223" s="580"/>
      <c r="D223" s="315"/>
      <c r="E223" s="315"/>
      <c r="F223" s="315"/>
      <c r="G223" s="315"/>
      <c r="H223" s="315"/>
      <c r="I223" s="315"/>
      <c r="J223" s="315"/>
      <c r="K223" s="317">
        <f>+SUM(K221,K184,K147,K110,K73,K36,)</f>
        <v>20450444.233854577</v>
      </c>
      <c r="L223" s="193"/>
      <c r="M223" s="317">
        <f t="shared" ref="M223:O223" si="87">+SUM(M221,M184,M147,M110,M73,M36,)</f>
        <v>16206176.455142751</v>
      </c>
      <c r="N223" s="317">
        <f t="shared" si="87"/>
        <v>2921285.0262489063</v>
      </c>
      <c r="O223" s="317">
        <f t="shared" si="87"/>
        <v>1322982.7524629224</v>
      </c>
      <c r="P223" s="192"/>
      <c r="Q223" s="32"/>
      <c r="R223" s="192"/>
    </row>
  </sheetData>
  <mergeCells count="13">
    <mergeCell ref="A186:K186"/>
    <mergeCell ref="A221:J221"/>
    <mergeCell ref="A223:C223"/>
    <mergeCell ref="A75:K75"/>
    <mergeCell ref="A110:J110"/>
    <mergeCell ref="A112:K112"/>
    <mergeCell ref="A147:J147"/>
    <mergeCell ref="A149:K149"/>
    <mergeCell ref="A1:K1"/>
    <mergeCell ref="A36:J36"/>
    <mergeCell ref="A38:K38"/>
    <mergeCell ref="A73:J73"/>
    <mergeCell ref="A184:J184"/>
  </mergeCells>
  <pageMargins left="0.75" right="0.75" top="1" bottom="1" header="0.5" footer="0.5"/>
  <pageSetup scale="22" orientation="portrait" horizontalDpi="4294967292" verticalDpi="4294967292"/>
  <headerFooter>
    <oddFooter>&amp;L&amp;"Helvetica,Regular"&amp;12&amp;K000000	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9891A-4FFB-41A3-8427-38B5AA7B420A}">
  <sheetPr>
    <pageSetUpPr fitToPage="1"/>
  </sheetPr>
  <dimension ref="A1:AK286"/>
  <sheetViews>
    <sheetView showGridLines="0" topLeftCell="F1" zoomScale="75" zoomScaleNormal="75" zoomScalePageLayoutView="75" workbookViewId="0">
      <selection activeCell="T2" sqref="T2"/>
    </sheetView>
  </sheetViews>
  <sheetFormatPr defaultColWidth="10.6640625" defaultRowHeight="15" customHeight="1" x14ac:dyDescent="0.25"/>
  <cols>
    <col min="1" max="1" width="11.88671875" style="14" customWidth="1"/>
    <col min="2" max="18" width="17.44140625" style="14" customWidth="1"/>
    <col min="19" max="22" width="10.6640625" style="14"/>
    <col min="23" max="26" width="12.6640625" style="14" customWidth="1"/>
    <col min="27" max="27" width="10.6640625" style="14"/>
    <col min="28" max="28" width="13.109375" style="14" bestFit="1" customWidth="1"/>
    <col min="29" max="16384" width="10.6640625" style="14"/>
  </cols>
  <sheetData>
    <row r="1" spans="1:37" s="2" customFormat="1" ht="15" customHeight="1" x14ac:dyDescent="0.25">
      <c r="A1" s="581" t="s">
        <v>144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5"/>
      <c r="S1" s="449"/>
      <c r="T1" s="449"/>
      <c r="U1" s="449"/>
      <c r="V1" s="449"/>
      <c r="W1" s="449"/>
      <c r="X1" s="450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37" ht="15" customHeight="1" x14ac:dyDescent="0.3">
      <c r="A2" s="451" t="s">
        <v>145</v>
      </c>
      <c r="B2" s="451" t="s">
        <v>146</v>
      </c>
      <c r="C2" s="451" t="s">
        <v>147</v>
      </c>
      <c r="D2" s="451" t="s">
        <v>148</v>
      </c>
      <c r="E2" s="451" t="s">
        <v>149</v>
      </c>
      <c r="F2" s="451" t="s">
        <v>150</v>
      </c>
      <c r="G2" s="451" t="s">
        <v>151</v>
      </c>
      <c r="H2" s="451" t="s">
        <v>152</v>
      </c>
      <c r="I2" s="451" t="s">
        <v>153</v>
      </c>
      <c r="J2" s="451" t="s">
        <v>154</v>
      </c>
      <c r="K2" s="451" t="s">
        <v>155</v>
      </c>
      <c r="L2" s="451" t="s">
        <v>88</v>
      </c>
      <c r="M2" s="451" t="s">
        <v>156</v>
      </c>
      <c r="N2" s="451" t="s">
        <v>157</v>
      </c>
      <c r="O2" s="451" t="s">
        <v>158</v>
      </c>
      <c r="P2" s="452" t="s">
        <v>159</v>
      </c>
      <c r="Q2" s="452" t="s">
        <v>192</v>
      </c>
      <c r="R2" s="452" t="s">
        <v>160</v>
      </c>
    </row>
    <row r="3" spans="1:37" ht="15" customHeight="1" x14ac:dyDescent="0.3">
      <c r="A3" s="151" t="s">
        <v>193</v>
      </c>
      <c r="B3" s="151" t="s">
        <v>194</v>
      </c>
      <c r="C3" s="151" t="s">
        <v>195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3"/>
    </row>
    <row r="4" spans="1:37" ht="15" customHeight="1" x14ac:dyDescent="0.3">
      <c r="A4" s="151" t="s">
        <v>196</v>
      </c>
      <c r="B4" s="195">
        <v>2189421900</v>
      </c>
      <c r="C4" s="151"/>
      <c r="D4" s="151"/>
      <c r="E4" s="151"/>
      <c r="F4" s="151"/>
      <c r="G4" s="151"/>
      <c r="H4" s="151" t="s">
        <v>197</v>
      </c>
      <c r="I4" s="151"/>
      <c r="J4" s="151"/>
      <c r="K4" s="151"/>
      <c r="L4" s="151" t="s">
        <v>198</v>
      </c>
      <c r="M4" s="151"/>
      <c r="N4" s="151"/>
      <c r="O4" s="151"/>
      <c r="P4" s="453" t="s">
        <v>199</v>
      </c>
      <c r="Q4" s="454"/>
      <c r="R4" s="455"/>
    </row>
    <row r="5" spans="1:37" ht="15" customHeight="1" x14ac:dyDescent="0.3">
      <c r="A5" s="151" t="s">
        <v>200</v>
      </c>
      <c r="B5" s="151"/>
      <c r="C5" s="151">
        <v>2018</v>
      </c>
      <c r="D5" s="151"/>
      <c r="E5" s="151"/>
      <c r="F5" s="151"/>
      <c r="G5" s="151"/>
      <c r="H5" s="151" t="s">
        <v>201</v>
      </c>
      <c r="I5" s="151"/>
      <c r="J5" s="151"/>
      <c r="K5" s="151"/>
      <c r="L5" s="151" t="s">
        <v>202</v>
      </c>
      <c r="M5" s="151"/>
      <c r="N5" s="151"/>
      <c r="O5" s="151"/>
      <c r="P5" s="303" t="s">
        <v>203</v>
      </c>
      <c r="Q5" s="151"/>
      <c r="R5" s="153"/>
    </row>
    <row r="6" spans="1:37" ht="15" customHeight="1" x14ac:dyDescent="0.3">
      <c r="A6" s="151" t="s">
        <v>204</v>
      </c>
      <c r="B6" s="151"/>
      <c r="C6" s="151">
        <v>29340</v>
      </c>
      <c r="D6" s="151" t="s">
        <v>205</v>
      </c>
      <c r="E6" s="151"/>
      <c r="F6" s="151"/>
      <c r="G6" s="151"/>
      <c r="H6" s="151" t="s">
        <v>206</v>
      </c>
      <c r="I6" s="151"/>
      <c r="J6" s="151"/>
      <c r="K6" s="151"/>
      <c r="L6" s="151" t="s">
        <v>207</v>
      </c>
      <c r="M6" s="151" t="s">
        <v>208</v>
      </c>
      <c r="N6" s="151" t="s">
        <v>209</v>
      </c>
      <c r="O6" s="151" t="s">
        <v>210</v>
      </c>
      <c r="P6" s="456" t="s">
        <v>211</v>
      </c>
      <c r="Q6" s="457"/>
      <c r="R6" s="458"/>
    </row>
    <row r="7" spans="1:37" ht="15" customHeight="1" x14ac:dyDescent="0.3">
      <c r="A7" s="151" t="s">
        <v>212</v>
      </c>
      <c r="B7" s="151"/>
      <c r="C7" s="151">
        <v>10</v>
      </c>
      <c r="D7" s="151"/>
      <c r="E7" s="196"/>
      <c r="F7" s="151"/>
      <c r="G7" s="151"/>
      <c r="H7" s="151" t="s">
        <v>207</v>
      </c>
      <c r="I7" s="151" t="s">
        <v>213</v>
      </c>
      <c r="J7" s="151" t="s">
        <v>209</v>
      </c>
      <c r="K7" s="151" t="s">
        <v>210</v>
      </c>
      <c r="L7" s="304">
        <v>2100</v>
      </c>
      <c r="M7" s="305">
        <v>8600</v>
      </c>
      <c r="N7" s="305">
        <v>384300</v>
      </c>
      <c r="O7" s="306">
        <v>50100</v>
      </c>
      <c r="P7" s="155"/>
      <c r="Q7" s="151"/>
      <c r="R7" s="153"/>
    </row>
    <row r="8" spans="1:37" ht="15" customHeight="1" x14ac:dyDescent="0.3">
      <c r="A8" s="151" t="s">
        <v>214</v>
      </c>
      <c r="B8" s="151"/>
      <c r="C8" s="151">
        <v>2787.3</v>
      </c>
      <c r="D8" s="151" t="s">
        <v>215</v>
      </c>
      <c r="E8" s="151"/>
      <c r="F8" s="151"/>
      <c r="G8" s="151"/>
      <c r="H8" s="156">
        <v>3.6432281029351699E-2</v>
      </c>
      <c r="I8" s="156">
        <v>0.19581096457956468</v>
      </c>
      <c r="J8" s="156">
        <v>8.753858610025091E-3</v>
      </c>
      <c r="K8" s="156">
        <v>2.2429538425628756E-3</v>
      </c>
      <c r="L8" s="155"/>
      <c r="M8" s="155"/>
      <c r="N8" s="155"/>
      <c r="O8" s="155"/>
      <c r="P8" s="155"/>
      <c r="Q8" s="151"/>
      <c r="R8" s="153"/>
    </row>
    <row r="9" spans="1:37" ht="15" customHeight="1" x14ac:dyDescent="0.3">
      <c r="A9" s="151" t="s">
        <v>216</v>
      </c>
      <c r="B9" s="151"/>
      <c r="C9" s="151">
        <v>1.1479999999999999</v>
      </c>
      <c r="D9" s="151"/>
      <c r="E9" s="151"/>
      <c r="F9" s="151"/>
      <c r="G9" s="151"/>
      <c r="H9" s="151" t="s">
        <v>217</v>
      </c>
      <c r="I9" s="151"/>
      <c r="J9" s="151"/>
      <c r="K9" s="151"/>
      <c r="L9" s="151"/>
      <c r="M9" s="151"/>
      <c r="N9" s="151"/>
      <c r="O9" s="151"/>
      <c r="P9" s="151"/>
      <c r="Q9" s="151"/>
      <c r="R9" s="153"/>
    </row>
    <row r="10" spans="1:37" ht="15" customHeight="1" x14ac:dyDescent="0.3">
      <c r="A10" s="151" t="s">
        <v>218</v>
      </c>
      <c r="B10" s="151"/>
      <c r="C10" s="151">
        <v>2025</v>
      </c>
      <c r="D10" s="151"/>
      <c r="E10" s="151"/>
      <c r="F10" s="151"/>
      <c r="G10" s="151"/>
      <c r="H10" s="151" t="s">
        <v>207</v>
      </c>
      <c r="I10" s="151" t="s">
        <v>213</v>
      </c>
      <c r="J10" s="151" t="s">
        <v>209</v>
      </c>
      <c r="K10" s="151" t="s">
        <v>210</v>
      </c>
      <c r="L10" s="151"/>
      <c r="M10" s="151"/>
      <c r="N10" s="151"/>
      <c r="O10" s="151"/>
      <c r="P10" s="151"/>
      <c r="Q10" s="151"/>
      <c r="R10" s="153"/>
    </row>
    <row r="11" spans="1:37" ht="15" customHeight="1" x14ac:dyDescent="0.3">
      <c r="A11" s="151" t="s">
        <v>219</v>
      </c>
      <c r="B11" s="151"/>
      <c r="C11" s="151">
        <v>-0.7</v>
      </c>
      <c r="D11" s="151" t="s">
        <v>220</v>
      </c>
      <c r="E11" s="151"/>
      <c r="F11" s="151"/>
      <c r="G11" s="151"/>
      <c r="H11" s="156">
        <v>0.1926184710123312</v>
      </c>
      <c r="I11" s="156">
        <v>3.5876303775197051</v>
      </c>
      <c r="J11" s="156">
        <v>0.13760098285564054</v>
      </c>
      <c r="K11" s="156">
        <v>1.13555217375917E-2</v>
      </c>
      <c r="L11" s="151"/>
      <c r="M11" s="151"/>
      <c r="N11" s="151"/>
      <c r="O11" s="151"/>
      <c r="P11" s="151"/>
      <c r="Q11" s="151"/>
      <c r="R11" s="153"/>
    </row>
    <row r="12" spans="1:37" ht="15" customHeight="1" x14ac:dyDescent="0.3">
      <c r="A12" s="151" t="s">
        <v>221</v>
      </c>
      <c r="B12" s="151"/>
      <c r="C12" s="151">
        <v>0.14499999999999999</v>
      </c>
      <c r="D12" s="151" t="s">
        <v>222</v>
      </c>
      <c r="E12" s="151"/>
      <c r="F12" s="151"/>
      <c r="G12" s="151"/>
      <c r="H12" s="151" t="s">
        <v>223</v>
      </c>
      <c r="I12" s="151"/>
      <c r="J12" s="151"/>
      <c r="K12" s="151"/>
      <c r="L12" s="151" t="s">
        <v>224</v>
      </c>
      <c r="M12" s="151"/>
      <c r="N12" s="151"/>
      <c r="O12" s="151"/>
      <c r="P12" s="151"/>
      <c r="Q12" s="151"/>
      <c r="R12" s="153"/>
    </row>
    <row r="13" spans="1:37" ht="151.5" customHeight="1" x14ac:dyDescent="0.3">
      <c r="A13" s="459" t="s">
        <v>29</v>
      </c>
      <c r="B13" s="459" t="s">
        <v>30</v>
      </c>
      <c r="C13" s="460" t="s">
        <v>225</v>
      </c>
      <c r="D13" s="460" t="s">
        <v>226</v>
      </c>
      <c r="E13" s="460" t="s">
        <v>183</v>
      </c>
      <c r="F13" s="459" t="s">
        <v>227</v>
      </c>
      <c r="G13" s="459" t="s">
        <v>228</v>
      </c>
      <c r="H13" s="459" t="s">
        <v>229</v>
      </c>
      <c r="I13" s="459" t="s">
        <v>230</v>
      </c>
      <c r="J13" s="459" t="s">
        <v>231</v>
      </c>
      <c r="K13" s="459" t="s">
        <v>232</v>
      </c>
      <c r="L13" s="459" t="s">
        <v>233</v>
      </c>
      <c r="M13" s="459" t="s">
        <v>234</v>
      </c>
      <c r="N13" s="459" t="s">
        <v>235</v>
      </c>
      <c r="O13" s="459" t="s">
        <v>236</v>
      </c>
      <c r="P13" s="461" t="s">
        <v>237</v>
      </c>
      <c r="Q13" s="459" t="s">
        <v>238</v>
      </c>
      <c r="R13" s="459" t="s">
        <v>239</v>
      </c>
      <c r="W13" s="462" t="s">
        <v>240</v>
      </c>
      <c r="X13" s="462" t="s">
        <v>241</v>
      </c>
      <c r="Y13" s="462" t="s">
        <v>242</v>
      </c>
      <c r="Z13" s="462" t="s">
        <v>243</v>
      </c>
    </row>
    <row r="14" spans="1:37" ht="15" customHeight="1" x14ac:dyDescent="0.3">
      <c r="A14" s="463">
        <v>0</v>
      </c>
      <c r="B14" s="463">
        <v>2018</v>
      </c>
      <c r="C14" s="421">
        <v>26552.7</v>
      </c>
      <c r="D14" s="464">
        <v>2787.3</v>
      </c>
      <c r="E14" s="465">
        <v>0</v>
      </c>
      <c r="F14" s="466">
        <f>C14*E14*365</f>
        <v>0</v>
      </c>
      <c r="G14" s="466">
        <f>D14*E14*365</f>
        <v>0</v>
      </c>
      <c r="H14" s="467">
        <f t="shared" ref="H14:K29" si="0">($F14*H$8+$G14*H$11)/1000000*1.1015</f>
        <v>0</v>
      </c>
      <c r="I14" s="467">
        <f t="shared" si="0"/>
        <v>0</v>
      </c>
      <c r="J14" s="467">
        <f t="shared" si="0"/>
        <v>0</v>
      </c>
      <c r="K14" s="467">
        <f t="shared" si="0"/>
        <v>0</v>
      </c>
      <c r="L14" s="468">
        <f>H14*L$7</f>
        <v>0</v>
      </c>
      <c r="M14" s="468">
        <f t="shared" ref="M14:O29" si="1">I14*M$7</f>
        <v>0</v>
      </c>
      <c r="N14" s="468">
        <f t="shared" si="1"/>
        <v>0</v>
      </c>
      <c r="O14" s="468">
        <f t="shared" si="1"/>
        <v>0</v>
      </c>
      <c r="P14" s="468">
        <f>(+F14)*398.52/1000000</f>
        <v>0</v>
      </c>
      <c r="Q14" s="468">
        <f>SUM(L14:P14)</f>
        <v>0</v>
      </c>
      <c r="R14" s="469">
        <f>Q14/(1+0.07)^A14</f>
        <v>0</v>
      </c>
      <c r="W14" s="470">
        <f>L14/(1+0.07)^$A14</f>
        <v>0</v>
      </c>
      <c r="X14" s="470">
        <f t="shared" ref="X14:Z14" si="2">M14/(1+0.07)^$A14</f>
        <v>0</v>
      </c>
      <c r="Y14" s="470">
        <f t="shared" si="2"/>
        <v>0</v>
      </c>
      <c r="Z14" s="470">
        <f t="shared" si="2"/>
        <v>0</v>
      </c>
    </row>
    <row r="15" spans="1:37" ht="15" customHeight="1" x14ac:dyDescent="0.3">
      <c r="A15" s="463">
        <f>1+A14</f>
        <v>1</v>
      </c>
      <c r="B15" s="463">
        <f>1+B14</f>
        <v>2019</v>
      </c>
      <c r="C15" s="421">
        <v>26679.4</v>
      </c>
      <c r="D15" s="464">
        <v>2800.6</v>
      </c>
      <c r="E15" s="465">
        <v>0</v>
      </c>
      <c r="F15" s="466">
        <f t="shared" ref="F15:F45" si="3">C15*E15*365</f>
        <v>0</v>
      </c>
      <c r="G15" s="466">
        <f t="shared" ref="G15:G45" si="4">D15*E15*365</f>
        <v>0</v>
      </c>
      <c r="H15" s="467">
        <f t="shared" si="0"/>
        <v>0</v>
      </c>
      <c r="I15" s="467">
        <f t="shared" si="0"/>
        <v>0</v>
      </c>
      <c r="J15" s="467">
        <f t="shared" si="0"/>
        <v>0</v>
      </c>
      <c r="K15" s="467">
        <f t="shared" si="0"/>
        <v>0</v>
      </c>
      <c r="L15" s="468">
        <f t="shared" ref="L15:O30" si="5">H15*L$7</f>
        <v>0</v>
      </c>
      <c r="M15" s="468">
        <f t="shared" si="1"/>
        <v>0</v>
      </c>
      <c r="N15" s="468">
        <f t="shared" si="1"/>
        <v>0</v>
      </c>
      <c r="O15" s="468">
        <f t="shared" si="1"/>
        <v>0</v>
      </c>
      <c r="P15" s="468">
        <f t="shared" ref="P15:P45" si="6">(+F15)*398.52/1000000</f>
        <v>0</v>
      </c>
      <c r="Q15" s="468">
        <f t="shared" ref="Q15:Q45" si="7">SUM(L15:P15)</f>
        <v>0</v>
      </c>
      <c r="R15" s="469">
        <f t="shared" ref="R15:R43" si="8">Q15/(1+0.07)^A15</f>
        <v>0</v>
      </c>
      <c r="W15" s="470">
        <f t="shared" ref="W15:W45" si="9">L15/(1+0.07)^$A15</f>
        <v>0</v>
      </c>
      <c r="X15" s="470">
        <f t="shared" ref="X15:X45" si="10">M15/(1+0.07)^$A15</f>
        <v>0</v>
      </c>
      <c r="Y15" s="470">
        <f t="shared" ref="Y15:Y45" si="11">N15/(1+0.07)^$A15</f>
        <v>0</v>
      </c>
      <c r="Z15" s="470">
        <f t="shared" ref="Z15:Z45" si="12">O15/(1+0.07)^$A15</f>
        <v>0</v>
      </c>
    </row>
    <row r="16" spans="1:37" ht="15" customHeight="1" x14ac:dyDescent="0.3">
      <c r="A16" s="463">
        <f>1+A15</f>
        <v>2</v>
      </c>
      <c r="B16" s="463">
        <f t="shared" ref="B16:B43" si="13">1+B15</f>
        <v>2020</v>
      </c>
      <c r="C16" s="421">
        <v>26815.15</v>
      </c>
      <c r="D16" s="464">
        <v>2814.85</v>
      </c>
      <c r="E16" s="465">
        <v>0</v>
      </c>
      <c r="F16" s="466">
        <f t="shared" si="3"/>
        <v>0</v>
      </c>
      <c r="G16" s="466">
        <f>D16*E16*365</f>
        <v>0</v>
      </c>
      <c r="H16" s="467">
        <f t="shared" si="0"/>
        <v>0</v>
      </c>
      <c r="I16" s="467">
        <f t="shared" si="0"/>
        <v>0</v>
      </c>
      <c r="J16" s="467">
        <f t="shared" si="0"/>
        <v>0</v>
      </c>
      <c r="K16" s="467">
        <f t="shared" si="0"/>
        <v>0</v>
      </c>
      <c r="L16" s="468">
        <f t="shared" si="5"/>
        <v>0</v>
      </c>
      <c r="M16" s="468">
        <f t="shared" si="1"/>
        <v>0</v>
      </c>
      <c r="N16" s="468">
        <f t="shared" si="1"/>
        <v>0</v>
      </c>
      <c r="O16" s="468">
        <f t="shared" si="1"/>
        <v>0</v>
      </c>
      <c r="P16" s="468">
        <f t="shared" si="6"/>
        <v>0</v>
      </c>
      <c r="Q16" s="468">
        <f t="shared" si="7"/>
        <v>0</v>
      </c>
      <c r="R16" s="469">
        <f t="shared" si="8"/>
        <v>0</v>
      </c>
      <c r="W16" s="470">
        <f t="shared" si="9"/>
        <v>0</v>
      </c>
      <c r="X16" s="470">
        <f t="shared" si="10"/>
        <v>0</v>
      </c>
      <c r="Y16" s="470">
        <f t="shared" si="11"/>
        <v>0</v>
      </c>
      <c r="Z16" s="470">
        <f t="shared" si="12"/>
        <v>0</v>
      </c>
    </row>
    <row r="17" spans="1:26" ht="15" customHeight="1" x14ac:dyDescent="0.3">
      <c r="A17" s="463">
        <f t="shared" ref="A17:A43" si="14">1+A16</f>
        <v>3</v>
      </c>
      <c r="B17" s="463">
        <f t="shared" si="13"/>
        <v>2021</v>
      </c>
      <c r="C17" s="421">
        <v>26941.85</v>
      </c>
      <c r="D17" s="464">
        <v>2828.15</v>
      </c>
      <c r="E17" s="465">
        <v>0</v>
      </c>
      <c r="F17" s="466">
        <f t="shared" si="3"/>
        <v>0</v>
      </c>
      <c r="G17" s="466">
        <f t="shared" si="4"/>
        <v>0</v>
      </c>
      <c r="H17" s="467">
        <f t="shared" si="0"/>
        <v>0</v>
      </c>
      <c r="I17" s="467">
        <f t="shared" si="0"/>
        <v>0</v>
      </c>
      <c r="J17" s="467">
        <f t="shared" si="0"/>
        <v>0</v>
      </c>
      <c r="K17" s="467">
        <f t="shared" si="0"/>
        <v>0</v>
      </c>
      <c r="L17" s="468">
        <f t="shared" si="5"/>
        <v>0</v>
      </c>
      <c r="M17" s="468">
        <f t="shared" si="1"/>
        <v>0</v>
      </c>
      <c r="N17" s="468">
        <f t="shared" si="1"/>
        <v>0</v>
      </c>
      <c r="O17" s="468">
        <f t="shared" si="1"/>
        <v>0</v>
      </c>
      <c r="P17" s="468">
        <f t="shared" si="6"/>
        <v>0</v>
      </c>
      <c r="Q17" s="468">
        <f t="shared" si="7"/>
        <v>0</v>
      </c>
      <c r="R17" s="469">
        <f t="shared" si="8"/>
        <v>0</v>
      </c>
      <c r="W17" s="470">
        <f t="shared" si="9"/>
        <v>0</v>
      </c>
      <c r="X17" s="470">
        <f t="shared" si="10"/>
        <v>0</v>
      </c>
      <c r="Y17" s="470">
        <f t="shared" si="11"/>
        <v>0</v>
      </c>
      <c r="Z17" s="470">
        <f t="shared" si="12"/>
        <v>0</v>
      </c>
    </row>
    <row r="18" spans="1:26" ht="15" customHeight="1" x14ac:dyDescent="0.3">
      <c r="A18" s="463">
        <f t="shared" si="14"/>
        <v>4</v>
      </c>
      <c r="B18" s="463">
        <f t="shared" si="13"/>
        <v>2022</v>
      </c>
      <c r="C18" s="421">
        <v>27077.599999999999</v>
      </c>
      <c r="D18" s="464">
        <v>2842.4</v>
      </c>
      <c r="E18" s="465">
        <v>0</v>
      </c>
      <c r="F18" s="466">
        <f t="shared" si="3"/>
        <v>0</v>
      </c>
      <c r="G18" s="466">
        <f t="shared" si="4"/>
        <v>0</v>
      </c>
      <c r="H18" s="467">
        <f t="shared" si="0"/>
        <v>0</v>
      </c>
      <c r="I18" s="467">
        <f t="shared" si="0"/>
        <v>0</v>
      </c>
      <c r="J18" s="467">
        <f t="shared" si="0"/>
        <v>0</v>
      </c>
      <c r="K18" s="467">
        <f t="shared" si="0"/>
        <v>0</v>
      </c>
      <c r="L18" s="468">
        <f t="shared" si="5"/>
        <v>0</v>
      </c>
      <c r="M18" s="468">
        <f t="shared" si="1"/>
        <v>0</v>
      </c>
      <c r="N18" s="468">
        <f t="shared" si="1"/>
        <v>0</v>
      </c>
      <c r="O18" s="468">
        <f t="shared" si="1"/>
        <v>0</v>
      </c>
      <c r="P18" s="468">
        <f t="shared" si="6"/>
        <v>0</v>
      </c>
      <c r="Q18" s="468">
        <f t="shared" si="7"/>
        <v>0</v>
      </c>
      <c r="R18" s="469">
        <f t="shared" si="8"/>
        <v>0</v>
      </c>
      <c r="W18" s="470">
        <f t="shared" si="9"/>
        <v>0</v>
      </c>
      <c r="X18" s="470">
        <f t="shared" si="10"/>
        <v>0</v>
      </c>
      <c r="Y18" s="470">
        <f t="shared" si="11"/>
        <v>0</v>
      </c>
      <c r="Z18" s="470">
        <f t="shared" si="12"/>
        <v>0</v>
      </c>
    </row>
    <row r="19" spans="1:26" ht="15" customHeight="1" x14ac:dyDescent="0.3">
      <c r="A19" s="463">
        <f t="shared" si="14"/>
        <v>5</v>
      </c>
      <c r="B19" s="463">
        <f t="shared" si="13"/>
        <v>2023</v>
      </c>
      <c r="C19" s="421">
        <v>27204.3</v>
      </c>
      <c r="D19" s="464">
        <v>2855.7</v>
      </c>
      <c r="E19" s="465">
        <v>0</v>
      </c>
      <c r="F19" s="466">
        <f t="shared" si="3"/>
        <v>0</v>
      </c>
      <c r="G19" s="466">
        <f t="shared" si="4"/>
        <v>0</v>
      </c>
      <c r="H19" s="467">
        <f t="shared" si="0"/>
        <v>0</v>
      </c>
      <c r="I19" s="467">
        <f t="shared" si="0"/>
        <v>0</v>
      </c>
      <c r="J19" s="467">
        <f t="shared" si="0"/>
        <v>0</v>
      </c>
      <c r="K19" s="467">
        <f t="shared" si="0"/>
        <v>0</v>
      </c>
      <c r="L19" s="468">
        <f t="shared" si="5"/>
        <v>0</v>
      </c>
      <c r="M19" s="468">
        <f t="shared" si="1"/>
        <v>0</v>
      </c>
      <c r="N19" s="468">
        <f t="shared" si="1"/>
        <v>0</v>
      </c>
      <c r="O19" s="468">
        <f t="shared" si="1"/>
        <v>0</v>
      </c>
      <c r="P19" s="468">
        <f t="shared" si="6"/>
        <v>0</v>
      </c>
      <c r="Q19" s="468">
        <f t="shared" si="7"/>
        <v>0</v>
      </c>
      <c r="R19" s="469">
        <f t="shared" si="8"/>
        <v>0</v>
      </c>
      <c r="W19" s="470">
        <f t="shared" si="9"/>
        <v>0</v>
      </c>
      <c r="X19" s="470">
        <f t="shared" si="10"/>
        <v>0</v>
      </c>
      <c r="Y19" s="470">
        <f t="shared" si="11"/>
        <v>0</v>
      </c>
      <c r="Z19" s="470">
        <f t="shared" si="12"/>
        <v>0</v>
      </c>
    </row>
    <row r="20" spans="1:26" ht="15" customHeight="1" x14ac:dyDescent="0.3">
      <c r="A20" s="463">
        <f t="shared" si="14"/>
        <v>6</v>
      </c>
      <c r="B20" s="463">
        <f t="shared" si="13"/>
        <v>2024</v>
      </c>
      <c r="C20" s="421">
        <v>27340.05</v>
      </c>
      <c r="D20" s="464">
        <v>2869.95</v>
      </c>
      <c r="E20" s="465">
        <v>0</v>
      </c>
      <c r="F20" s="466">
        <f t="shared" si="3"/>
        <v>0</v>
      </c>
      <c r="G20" s="466">
        <f t="shared" si="4"/>
        <v>0</v>
      </c>
      <c r="H20" s="467">
        <f t="shared" si="0"/>
        <v>0</v>
      </c>
      <c r="I20" s="467">
        <f t="shared" si="0"/>
        <v>0</v>
      </c>
      <c r="J20" s="467">
        <f t="shared" si="0"/>
        <v>0</v>
      </c>
      <c r="K20" s="467">
        <f t="shared" si="0"/>
        <v>0</v>
      </c>
      <c r="L20" s="468">
        <f t="shared" si="5"/>
        <v>0</v>
      </c>
      <c r="M20" s="468">
        <f t="shared" si="1"/>
        <v>0</v>
      </c>
      <c r="N20" s="468">
        <f t="shared" si="1"/>
        <v>0</v>
      </c>
      <c r="O20" s="468">
        <f t="shared" si="1"/>
        <v>0</v>
      </c>
      <c r="P20" s="468">
        <f t="shared" si="6"/>
        <v>0</v>
      </c>
      <c r="Q20" s="468">
        <f t="shared" si="7"/>
        <v>0</v>
      </c>
      <c r="R20" s="469">
        <f t="shared" si="8"/>
        <v>0</v>
      </c>
      <c r="W20" s="470">
        <f t="shared" si="9"/>
        <v>0</v>
      </c>
      <c r="X20" s="470">
        <f t="shared" si="10"/>
        <v>0</v>
      </c>
      <c r="Y20" s="470">
        <f t="shared" si="11"/>
        <v>0</v>
      </c>
      <c r="Z20" s="470">
        <f t="shared" si="12"/>
        <v>0</v>
      </c>
    </row>
    <row r="21" spans="1:26" ht="15" customHeight="1" x14ac:dyDescent="0.3">
      <c r="A21" s="463">
        <f t="shared" si="14"/>
        <v>7</v>
      </c>
      <c r="B21" s="463">
        <f t="shared" si="13"/>
        <v>2025</v>
      </c>
      <c r="C21" s="421">
        <v>27466.75</v>
      </c>
      <c r="D21" s="464">
        <v>2883.25</v>
      </c>
      <c r="E21" s="471">
        <v>-0.7</v>
      </c>
      <c r="F21" s="466">
        <f t="shared" si="3"/>
        <v>-7017754.6249999991</v>
      </c>
      <c r="G21" s="466">
        <f t="shared" si="4"/>
        <v>-736670.375</v>
      </c>
      <c r="H21" s="472">
        <f>($F21*H$8+$G21*H$11)/1000000*1.1015</f>
        <v>-0.43792239665712296</v>
      </c>
      <c r="I21" s="472">
        <f>($F21*I$8+$G21*I$11)/1000000*1.1015</f>
        <v>-4.4247853311368717</v>
      </c>
      <c r="J21" s="467">
        <f t="shared" si="0"/>
        <v>-0.17932309782558781</v>
      </c>
      <c r="K21" s="467">
        <f t="shared" si="0"/>
        <v>-2.6552512439204E-2</v>
      </c>
      <c r="L21" s="473">
        <f t="shared" si="5"/>
        <v>-919.63703297995824</v>
      </c>
      <c r="M21" s="473">
        <f t="shared" si="1"/>
        <v>-38053.153847777096</v>
      </c>
      <c r="N21" s="473">
        <f t="shared" si="1"/>
        <v>-68913.866494373389</v>
      </c>
      <c r="O21" s="473">
        <f t="shared" si="1"/>
        <v>-1330.2808732041203</v>
      </c>
      <c r="P21" s="473">
        <f t="shared" si="6"/>
        <v>-2796.7155731549997</v>
      </c>
      <c r="Q21" s="473">
        <f t="shared" si="7"/>
        <v>-112013.65382148957</v>
      </c>
      <c r="R21" s="469">
        <f>Q21/(1+0.07)^A21</f>
        <v>-69756.474004882577</v>
      </c>
      <c r="T21" s="209"/>
      <c r="W21" s="470">
        <f t="shared" si="9"/>
        <v>-572.70372491578019</v>
      </c>
      <c r="X21" s="470">
        <f t="shared" si="10"/>
        <v>-23697.59173659782</v>
      </c>
      <c r="Y21" s="470">
        <f t="shared" si="11"/>
        <v>-42916.092571640198</v>
      </c>
      <c r="Z21" s="470">
        <f t="shared" si="12"/>
        <v>-828.43207042187441</v>
      </c>
    </row>
    <row r="22" spans="1:26" ht="15" customHeight="1" x14ac:dyDescent="0.3">
      <c r="A22" s="463">
        <f t="shared" si="14"/>
        <v>8</v>
      </c>
      <c r="B22" s="463">
        <f t="shared" si="13"/>
        <v>2026</v>
      </c>
      <c r="C22" s="421">
        <v>27602.5</v>
      </c>
      <c r="D22" s="464">
        <v>2897.5</v>
      </c>
      <c r="E22" s="471">
        <v>-0.7</v>
      </c>
      <c r="F22" s="466">
        <f t="shared" si="3"/>
        <v>-7052438.75</v>
      </c>
      <c r="G22" s="466">
        <f t="shared" si="4"/>
        <v>-740311.24999999988</v>
      </c>
      <c r="H22" s="467">
        <f t="shared" ref="H22:H43" si="15">($F22*H$8+$G22*H$11)/1000000*1.1015</f>
        <v>-0.44008675776086498</v>
      </c>
      <c r="I22" s="467">
        <f t="shared" si="0"/>
        <v>-4.4466541219003153</v>
      </c>
      <c r="J22" s="467">
        <f t="shared" si="0"/>
        <v>-0.18020937343263355</v>
      </c>
      <c r="K22" s="467">
        <f t="shared" si="0"/>
        <v>-2.6683743966910117E-2</v>
      </c>
      <c r="L22" s="473">
        <f t="shared" si="5"/>
        <v>-924.18219129781642</v>
      </c>
      <c r="M22" s="473">
        <f t="shared" si="1"/>
        <v>-38241.22544834271</v>
      </c>
      <c r="N22" s="473">
        <f t="shared" si="1"/>
        <v>-69254.462210161073</v>
      </c>
      <c r="O22" s="473">
        <f t="shared" si="1"/>
        <v>-1336.855572742197</v>
      </c>
      <c r="P22" s="473">
        <f t="shared" si="6"/>
        <v>-2810.53789065</v>
      </c>
      <c r="Q22" s="473">
        <f t="shared" si="7"/>
        <v>-112567.26331319379</v>
      </c>
      <c r="R22" s="469">
        <f t="shared" si="8"/>
        <v>-65515.17212424882</v>
      </c>
      <c r="W22" s="470">
        <f t="shared" si="9"/>
        <v>-537.88244961219721</v>
      </c>
      <c r="X22" s="470">
        <f t="shared" si="10"/>
        <v>-22256.7413806597</v>
      </c>
      <c r="Y22" s="470">
        <f t="shared" si="11"/>
        <v>-40306.727538069135</v>
      </c>
      <c r="Z22" s="470">
        <f t="shared" si="12"/>
        <v>-778.0621148244677</v>
      </c>
    </row>
    <row r="23" spans="1:26" ht="15" customHeight="1" x14ac:dyDescent="0.3">
      <c r="A23" s="463">
        <f t="shared" si="14"/>
        <v>9</v>
      </c>
      <c r="B23" s="463">
        <f t="shared" si="13"/>
        <v>2027</v>
      </c>
      <c r="C23" s="421">
        <v>27729.200000000001</v>
      </c>
      <c r="D23" s="464">
        <v>2910.8</v>
      </c>
      <c r="E23" s="471">
        <v>-0.7</v>
      </c>
      <c r="F23" s="466">
        <f t="shared" si="3"/>
        <v>-7084810.5999999996</v>
      </c>
      <c r="G23" s="466">
        <f t="shared" si="4"/>
        <v>-743709.4</v>
      </c>
      <c r="H23" s="467">
        <f t="shared" si="15"/>
        <v>-0.44210682812435753</v>
      </c>
      <c r="I23" s="467">
        <f t="shared" si="0"/>
        <v>-4.4670649932795303</v>
      </c>
      <c r="J23" s="467">
        <f t="shared" si="0"/>
        <v>-0.18103656399920959</v>
      </c>
      <c r="K23" s="467">
        <f t="shared" si="0"/>
        <v>-2.6806226726102493E-2</v>
      </c>
      <c r="L23" s="473">
        <f t="shared" si="5"/>
        <v>-928.42433906115082</v>
      </c>
      <c r="M23" s="473">
        <f t="shared" si="1"/>
        <v>-38416.75894220396</v>
      </c>
      <c r="N23" s="473">
        <f t="shared" si="1"/>
        <v>-69572.351544896243</v>
      </c>
      <c r="O23" s="473">
        <f t="shared" si="1"/>
        <v>-1342.9919589777348</v>
      </c>
      <c r="P23" s="473">
        <f t="shared" si="6"/>
        <v>-2823.438720312</v>
      </c>
      <c r="Q23" s="473">
        <f t="shared" si="7"/>
        <v>-113083.96550545109</v>
      </c>
      <c r="R23" s="469">
        <f t="shared" si="8"/>
        <v>-61510.184583636707</v>
      </c>
      <c r="W23" s="470">
        <f t="shared" si="9"/>
        <v>-505.00132545174574</v>
      </c>
      <c r="X23" s="470">
        <f t="shared" si="10"/>
        <v>-20896.171469386034</v>
      </c>
      <c r="Y23" s="470">
        <f t="shared" si="11"/>
        <v>-37842.749556195442</v>
      </c>
      <c r="Z23" s="470">
        <f t="shared" si="12"/>
        <v>-730.49864250717587</v>
      </c>
    </row>
    <row r="24" spans="1:26" ht="15" customHeight="1" x14ac:dyDescent="0.3">
      <c r="A24" s="463">
        <f t="shared" si="14"/>
        <v>10</v>
      </c>
      <c r="B24" s="463">
        <f t="shared" si="13"/>
        <v>2028</v>
      </c>
      <c r="C24" s="421">
        <v>27864.95</v>
      </c>
      <c r="D24" s="464">
        <v>2925.05</v>
      </c>
      <c r="E24" s="471">
        <v>-0.7</v>
      </c>
      <c r="F24" s="466">
        <f t="shared" si="3"/>
        <v>-7119494.7249999996</v>
      </c>
      <c r="G24" s="466">
        <f t="shared" si="4"/>
        <v>-747350.27500000002</v>
      </c>
      <c r="H24" s="467">
        <f t="shared" si="15"/>
        <v>-0.44427118922809944</v>
      </c>
      <c r="I24" s="467">
        <f t="shared" si="0"/>
        <v>-4.4889337840429748</v>
      </c>
      <c r="J24" s="467">
        <f t="shared" si="0"/>
        <v>-0.18192283960625533</v>
      </c>
      <c r="K24" s="467">
        <f t="shared" si="0"/>
        <v>-2.693745825380861E-2</v>
      </c>
      <c r="L24" s="473">
        <f t="shared" si="5"/>
        <v>-932.96949737900877</v>
      </c>
      <c r="M24" s="473">
        <f t="shared" si="1"/>
        <v>-38604.830542769581</v>
      </c>
      <c r="N24" s="473">
        <f t="shared" si="1"/>
        <v>-69912.947260683926</v>
      </c>
      <c r="O24" s="473">
        <f t="shared" si="1"/>
        <v>-1349.5666585158115</v>
      </c>
      <c r="P24" s="473">
        <f t="shared" si="6"/>
        <v>-2837.2610378069999</v>
      </c>
      <c r="Q24" s="473">
        <f t="shared" si="7"/>
        <v>-113637.57499715533</v>
      </c>
      <c r="R24" s="469">
        <f t="shared" si="8"/>
        <v>-57767.58080970982</v>
      </c>
      <c r="W24" s="470">
        <f t="shared" si="9"/>
        <v>-474.27438357590256</v>
      </c>
      <c r="X24" s="470">
        <f t="shared" si="10"/>
        <v>-19624.73827939765</v>
      </c>
      <c r="Y24" s="470">
        <f t="shared" si="11"/>
        <v>-35540.197251020531</v>
      </c>
      <c r="Z24" s="470">
        <f t="shared" si="12"/>
        <v>-686.05125554512915</v>
      </c>
    </row>
    <row r="25" spans="1:26" ht="15" customHeight="1" x14ac:dyDescent="0.3">
      <c r="A25" s="463">
        <f t="shared" si="14"/>
        <v>11</v>
      </c>
      <c r="B25" s="463">
        <f t="shared" si="13"/>
        <v>2029</v>
      </c>
      <c r="C25" s="421">
        <v>27991.65</v>
      </c>
      <c r="D25" s="464">
        <v>2938.35</v>
      </c>
      <c r="E25" s="471">
        <v>-0.7</v>
      </c>
      <c r="F25" s="466">
        <f t="shared" si="3"/>
        <v>-7151866.5749999993</v>
      </c>
      <c r="G25" s="466">
        <f t="shared" si="4"/>
        <v>-750748.42499999993</v>
      </c>
      <c r="H25" s="467">
        <f t="shared" si="15"/>
        <v>-0.44629125959159194</v>
      </c>
      <c r="I25" s="467">
        <f t="shared" si="0"/>
        <v>-4.5093446554221881</v>
      </c>
      <c r="J25" s="467">
        <f t="shared" si="0"/>
        <v>-0.18275003017283128</v>
      </c>
      <c r="K25" s="467">
        <f t="shared" si="0"/>
        <v>-2.7059941013000976E-2</v>
      </c>
      <c r="L25" s="473">
        <f t="shared" si="5"/>
        <v>-937.21164514234306</v>
      </c>
      <c r="M25" s="473">
        <f t="shared" si="1"/>
        <v>-38780.364036630817</v>
      </c>
      <c r="N25" s="473">
        <f t="shared" si="1"/>
        <v>-70230.836595419067</v>
      </c>
      <c r="O25" s="473">
        <f t="shared" si="1"/>
        <v>-1355.7030447513489</v>
      </c>
      <c r="P25" s="473">
        <f t="shared" si="6"/>
        <v>-2850.1618674689994</v>
      </c>
      <c r="Q25" s="473">
        <f t="shared" si="7"/>
        <v>-114154.27718941258</v>
      </c>
      <c r="R25" s="469">
        <f t="shared" si="8"/>
        <v>-54233.874769521717</v>
      </c>
      <c r="W25" s="470">
        <f t="shared" si="9"/>
        <v>-445.2625012976863</v>
      </c>
      <c r="X25" s="470">
        <f t="shared" si="10"/>
        <v>-18424.271595091534</v>
      </c>
      <c r="Y25" s="470">
        <f t="shared" si="11"/>
        <v>-33366.164550757298</v>
      </c>
      <c r="Z25" s="470">
        <f t="shared" si="12"/>
        <v>-644.08475060208389</v>
      </c>
    </row>
    <row r="26" spans="1:26" ht="15" customHeight="1" x14ac:dyDescent="0.3">
      <c r="A26" s="463">
        <f t="shared" si="14"/>
        <v>12</v>
      </c>
      <c r="B26" s="463">
        <f t="shared" si="13"/>
        <v>2030</v>
      </c>
      <c r="C26" s="421">
        <v>28127.4</v>
      </c>
      <c r="D26" s="464">
        <v>2952.6</v>
      </c>
      <c r="E26" s="471">
        <v>-0.7</v>
      </c>
      <c r="F26" s="466">
        <f t="shared" si="3"/>
        <v>-7186550.7000000002</v>
      </c>
      <c r="G26" s="466">
        <f t="shared" si="4"/>
        <v>-754389.29999999993</v>
      </c>
      <c r="H26" s="467">
        <f t="shared" si="15"/>
        <v>-0.44845562069533385</v>
      </c>
      <c r="I26" s="467">
        <f t="shared" si="0"/>
        <v>-4.5312134461856326</v>
      </c>
      <c r="J26" s="467">
        <f t="shared" si="0"/>
        <v>-0.18363630577987705</v>
      </c>
      <c r="K26" s="467">
        <f t="shared" si="0"/>
        <v>-2.71911725407071E-2</v>
      </c>
      <c r="L26" s="473">
        <f t="shared" si="5"/>
        <v>-941.75680346020113</v>
      </c>
      <c r="M26" s="473">
        <f t="shared" si="1"/>
        <v>-38968.435637196439</v>
      </c>
      <c r="N26" s="473">
        <f t="shared" si="1"/>
        <v>-70571.43231120675</v>
      </c>
      <c r="O26" s="473">
        <f t="shared" si="1"/>
        <v>-1362.2777442894258</v>
      </c>
      <c r="P26" s="473">
        <f t="shared" si="6"/>
        <v>-2863.9841849639997</v>
      </c>
      <c r="Q26" s="473">
        <f t="shared" si="7"/>
        <v>-114707.88668111683</v>
      </c>
      <c r="R26" s="469">
        <f t="shared" si="8"/>
        <v>-50931.673505646926</v>
      </c>
      <c r="W26" s="470">
        <f t="shared" si="9"/>
        <v>-418.15128343265599</v>
      </c>
      <c r="X26" s="470">
        <f t="shared" si="10"/>
        <v>-17302.451455818082</v>
      </c>
      <c r="Y26" s="470">
        <f t="shared" si="11"/>
        <v>-31334.559926923841</v>
      </c>
      <c r="Z26" s="470">
        <f t="shared" si="12"/>
        <v>-604.86761027199736</v>
      </c>
    </row>
    <row r="27" spans="1:26" ht="15" customHeight="1" x14ac:dyDescent="0.3">
      <c r="A27" s="463">
        <f t="shared" si="14"/>
        <v>13</v>
      </c>
      <c r="B27" s="463">
        <f t="shared" si="13"/>
        <v>2031</v>
      </c>
      <c r="C27" s="421">
        <v>28254.1</v>
      </c>
      <c r="D27" s="464">
        <v>2965.9</v>
      </c>
      <c r="E27" s="471">
        <v>-0.7</v>
      </c>
      <c r="F27" s="466">
        <f t="shared" si="3"/>
        <v>-7218922.5499999998</v>
      </c>
      <c r="G27" s="466">
        <f t="shared" si="4"/>
        <v>-757787.45000000007</v>
      </c>
      <c r="H27" s="467">
        <f t="shared" si="15"/>
        <v>-0.45047569105882634</v>
      </c>
      <c r="I27" s="467">
        <f t="shared" si="0"/>
        <v>-4.5516243175648485</v>
      </c>
      <c r="J27" s="467">
        <f t="shared" si="0"/>
        <v>-0.18446349634645309</v>
      </c>
      <c r="K27" s="467">
        <f t="shared" si="0"/>
        <v>-2.7313655299899476E-2</v>
      </c>
      <c r="L27" s="473">
        <f t="shared" si="5"/>
        <v>-945.9989512235353</v>
      </c>
      <c r="M27" s="473">
        <f t="shared" si="1"/>
        <v>-39143.969131057696</v>
      </c>
      <c r="N27" s="473">
        <f t="shared" si="1"/>
        <v>-70889.32164594192</v>
      </c>
      <c r="O27" s="473">
        <f t="shared" si="1"/>
        <v>-1368.4141305249636</v>
      </c>
      <c r="P27" s="473">
        <f t="shared" si="6"/>
        <v>-2876.8850146259997</v>
      </c>
      <c r="Q27" s="473">
        <f t="shared" si="7"/>
        <v>-115224.5888733741</v>
      </c>
      <c r="R27" s="469">
        <f t="shared" si="8"/>
        <v>-47814.107905023418</v>
      </c>
      <c r="W27" s="470">
        <f t="shared" si="9"/>
        <v>-392.55593249760994</v>
      </c>
      <c r="X27" s="470">
        <f t="shared" si="10"/>
        <v>-16243.355538635316</v>
      </c>
      <c r="Y27" s="470">
        <f t="shared" si="11"/>
        <v>-29416.548218001248</v>
      </c>
      <c r="Z27" s="470">
        <f t="shared" si="12"/>
        <v>-567.84321415616478</v>
      </c>
    </row>
    <row r="28" spans="1:26" ht="15" customHeight="1" x14ac:dyDescent="0.3">
      <c r="A28" s="463">
        <f t="shared" si="14"/>
        <v>14</v>
      </c>
      <c r="B28" s="463">
        <f t="shared" si="13"/>
        <v>2032</v>
      </c>
      <c r="C28" s="421">
        <v>28389.85</v>
      </c>
      <c r="D28" s="464">
        <v>2980.15</v>
      </c>
      <c r="E28" s="471">
        <v>-0.7</v>
      </c>
      <c r="F28" s="466">
        <f t="shared" si="3"/>
        <v>-7253606.6749999989</v>
      </c>
      <c r="G28" s="466">
        <f t="shared" si="4"/>
        <v>-761428.32499999995</v>
      </c>
      <c r="H28" s="467">
        <f t="shared" si="15"/>
        <v>-0.45264005216256825</v>
      </c>
      <c r="I28" s="467">
        <f t="shared" si="0"/>
        <v>-4.5734931083282913</v>
      </c>
      <c r="J28" s="467">
        <f t="shared" si="0"/>
        <v>-0.18534977195349883</v>
      </c>
      <c r="K28" s="467">
        <f t="shared" si="0"/>
        <v>-2.7444886827605586E-2</v>
      </c>
      <c r="L28" s="473">
        <f t="shared" si="5"/>
        <v>-950.54410954139337</v>
      </c>
      <c r="M28" s="473">
        <f t="shared" si="1"/>
        <v>-39332.040731623303</v>
      </c>
      <c r="N28" s="473">
        <f t="shared" si="1"/>
        <v>-71229.917361729604</v>
      </c>
      <c r="O28" s="473">
        <f t="shared" si="1"/>
        <v>-1374.9888300630398</v>
      </c>
      <c r="P28" s="473">
        <f t="shared" si="6"/>
        <v>-2890.7073321209991</v>
      </c>
      <c r="Q28" s="473">
        <f t="shared" si="7"/>
        <v>-115778.19836507835</v>
      </c>
      <c r="R28" s="469">
        <f t="shared" si="8"/>
        <v>-44900.781459901242</v>
      </c>
      <c r="W28" s="470">
        <f t="shared" si="9"/>
        <v>-368.63739402761303</v>
      </c>
      <c r="X28" s="470">
        <f t="shared" si="10"/>
        <v>-15253.643520119194</v>
      </c>
      <c r="Y28" s="470">
        <f t="shared" si="11"/>
        <v>-27624.190029118025</v>
      </c>
      <c r="Z28" s="470">
        <f t="shared" si="12"/>
        <v>-533.24437450468747</v>
      </c>
    </row>
    <row r="29" spans="1:26" ht="15" customHeight="1" x14ac:dyDescent="0.3">
      <c r="A29" s="463">
        <f t="shared" si="14"/>
        <v>15</v>
      </c>
      <c r="B29" s="463">
        <f t="shared" si="13"/>
        <v>2033</v>
      </c>
      <c r="C29" s="421">
        <v>28516.55</v>
      </c>
      <c r="D29" s="464">
        <v>2993.45</v>
      </c>
      <c r="E29" s="471">
        <v>-0.7</v>
      </c>
      <c r="F29" s="466">
        <f t="shared" si="3"/>
        <v>-7285978.5249999994</v>
      </c>
      <c r="G29" s="466">
        <f t="shared" si="4"/>
        <v>-764826.47499999998</v>
      </c>
      <c r="H29" s="467">
        <f t="shared" si="15"/>
        <v>-0.45466012252606081</v>
      </c>
      <c r="I29" s="467">
        <f t="shared" si="0"/>
        <v>-4.5939039797075054</v>
      </c>
      <c r="J29" s="467">
        <f t="shared" si="0"/>
        <v>-0.18617696252007487</v>
      </c>
      <c r="K29" s="467">
        <f t="shared" si="0"/>
        <v>-2.7567369586797966E-2</v>
      </c>
      <c r="L29" s="473">
        <f t="shared" si="5"/>
        <v>-954.78625730472766</v>
      </c>
      <c r="M29" s="473">
        <f t="shared" si="1"/>
        <v>-39507.574225484546</v>
      </c>
      <c r="N29" s="473">
        <f t="shared" si="1"/>
        <v>-71547.806696464773</v>
      </c>
      <c r="O29" s="473">
        <f t="shared" si="1"/>
        <v>-1381.1252162985782</v>
      </c>
      <c r="P29" s="473">
        <f t="shared" si="6"/>
        <v>-2903.6081617829996</v>
      </c>
      <c r="Q29" s="473">
        <f t="shared" si="7"/>
        <v>-116294.90055733563</v>
      </c>
      <c r="R29" s="469">
        <f t="shared" si="8"/>
        <v>-42150.623811710335</v>
      </c>
      <c r="W29" s="470">
        <f t="shared" si="9"/>
        <v>-346.05847856932439</v>
      </c>
      <c r="X29" s="470">
        <f t="shared" si="10"/>
        <v>-14319.363023751954</v>
      </c>
      <c r="Y29" s="470">
        <f t="shared" si="11"/>
        <v>-25932.217751274624</v>
      </c>
      <c r="Z29" s="470">
        <f t="shared" si="12"/>
        <v>-500.58333727511268</v>
      </c>
    </row>
    <row r="30" spans="1:26" ht="15" customHeight="1" x14ac:dyDescent="0.3">
      <c r="A30" s="463">
        <f t="shared" si="14"/>
        <v>16</v>
      </c>
      <c r="B30" s="463">
        <f t="shared" si="13"/>
        <v>2034</v>
      </c>
      <c r="C30" s="421">
        <v>28652.3</v>
      </c>
      <c r="D30" s="464">
        <v>3007.7</v>
      </c>
      <c r="E30" s="471">
        <v>-0.7</v>
      </c>
      <c r="F30" s="466">
        <f t="shared" si="3"/>
        <v>-7320662.6499999985</v>
      </c>
      <c r="G30" s="466">
        <f t="shared" si="4"/>
        <v>-768467.35</v>
      </c>
      <c r="H30" s="467">
        <f t="shared" si="15"/>
        <v>-0.45682448362980271</v>
      </c>
      <c r="I30" s="467">
        <f t="shared" ref="I30:K43" si="16">($F30*I$8+$G30*I$11)/1000000*1.1015</f>
        <v>-4.6157727704709499</v>
      </c>
      <c r="J30" s="467">
        <f t="shared" si="16"/>
        <v>-0.18706323812712058</v>
      </c>
      <c r="K30" s="467">
        <f t="shared" si="16"/>
        <v>-2.7698601114504073E-2</v>
      </c>
      <c r="L30" s="473">
        <f t="shared" si="5"/>
        <v>-959.33141562258572</v>
      </c>
      <c r="M30" s="473">
        <f t="shared" si="5"/>
        <v>-39695.645826050168</v>
      </c>
      <c r="N30" s="473">
        <f t="shared" si="5"/>
        <v>-71888.402412252442</v>
      </c>
      <c r="O30" s="473">
        <f t="shared" si="5"/>
        <v>-1387.6999158366541</v>
      </c>
      <c r="P30" s="473">
        <f t="shared" si="6"/>
        <v>-2917.4304792779994</v>
      </c>
      <c r="Q30" s="473">
        <f t="shared" si="7"/>
        <v>-116848.51004903985</v>
      </c>
      <c r="R30" s="469">
        <f t="shared" si="8"/>
        <v>-39580.633054593236</v>
      </c>
      <c r="W30" s="470">
        <f t="shared" si="9"/>
        <v>-324.95874122455746</v>
      </c>
      <c r="X30" s="470">
        <f t="shared" si="10"/>
        <v>-13446.288623163302</v>
      </c>
      <c r="Y30" s="470">
        <f t="shared" si="11"/>
        <v>-24351.089077354307</v>
      </c>
      <c r="Z30" s="470">
        <f t="shared" si="12"/>
        <v>-470.06197285330177</v>
      </c>
    </row>
    <row r="31" spans="1:26" ht="15" customHeight="1" x14ac:dyDescent="0.3">
      <c r="A31" s="463">
        <f t="shared" si="14"/>
        <v>17</v>
      </c>
      <c r="B31" s="463">
        <f t="shared" si="13"/>
        <v>2035</v>
      </c>
      <c r="C31" s="421">
        <v>28779</v>
      </c>
      <c r="D31" s="464">
        <v>3021</v>
      </c>
      <c r="E31" s="471">
        <v>-0.7</v>
      </c>
      <c r="F31" s="466">
        <f t="shared" si="3"/>
        <v>-7353034.5</v>
      </c>
      <c r="G31" s="466">
        <f t="shared" si="4"/>
        <v>-771865.49999999988</v>
      </c>
      <c r="H31" s="467">
        <f t="shared" si="15"/>
        <v>-0.45884455399329532</v>
      </c>
      <c r="I31" s="467">
        <f t="shared" si="16"/>
        <v>-4.6361836418501641</v>
      </c>
      <c r="J31" s="467">
        <f t="shared" si="16"/>
        <v>-0.1878904286936966</v>
      </c>
      <c r="K31" s="467">
        <f t="shared" si="16"/>
        <v>-2.7821083873696452E-2</v>
      </c>
      <c r="L31" s="473">
        <f t="shared" ref="L31:L43" si="17">H31*L$7</f>
        <v>-963.57356338592012</v>
      </c>
      <c r="M31" s="473">
        <f t="shared" ref="M31:M43" si="18">I31*M$7</f>
        <v>-39871.179319911411</v>
      </c>
      <c r="N31" s="473">
        <f t="shared" ref="N31:N43" si="19">J31*N$7</f>
        <v>-72206.291746987597</v>
      </c>
      <c r="O31" s="473">
        <f t="shared" ref="O31:O43" si="20">K31*O$7</f>
        <v>-1393.8363020721922</v>
      </c>
      <c r="P31" s="473">
        <f t="shared" si="6"/>
        <v>-2930.3313089399999</v>
      </c>
      <c r="Q31" s="473">
        <f t="shared" si="7"/>
        <v>-117365.21224129712</v>
      </c>
      <c r="R31" s="469">
        <f t="shared" si="8"/>
        <v>-37154.820526979558</v>
      </c>
      <c r="W31" s="470">
        <f t="shared" si="9"/>
        <v>-305.04271349622826</v>
      </c>
      <c r="X31" s="470">
        <f t="shared" si="10"/>
        <v>-12622.194290286188</v>
      </c>
      <c r="Y31" s="470">
        <f t="shared" si="11"/>
        <v>-22858.662797476307</v>
      </c>
      <c r="Z31" s="470">
        <f t="shared" si="12"/>
        <v>-441.25287773525355</v>
      </c>
    </row>
    <row r="32" spans="1:26" ht="15" customHeight="1" x14ac:dyDescent="0.3">
      <c r="A32" s="463">
        <f t="shared" si="14"/>
        <v>18</v>
      </c>
      <c r="B32" s="463">
        <f t="shared" si="13"/>
        <v>2036</v>
      </c>
      <c r="C32" s="421">
        <v>28914.75</v>
      </c>
      <c r="D32" s="464">
        <v>3035.25</v>
      </c>
      <c r="E32" s="471">
        <v>-0.7</v>
      </c>
      <c r="F32" s="466">
        <f t="shared" si="3"/>
        <v>-7387718.6249999991</v>
      </c>
      <c r="G32" s="466">
        <f t="shared" si="4"/>
        <v>-775506.37499999988</v>
      </c>
      <c r="H32" s="467">
        <f t="shared" si="15"/>
        <v>-0.46100891509703723</v>
      </c>
      <c r="I32" s="467">
        <f t="shared" si="16"/>
        <v>-4.6580524326136086</v>
      </c>
      <c r="J32" s="467">
        <f t="shared" si="16"/>
        <v>-0.18877670430074234</v>
      </c>
      <c r="K32" s="467">
        <f t="shared" si="16"/>
        <v>-2.7952315401402566E-2</v>
      </c>
      <c r="L32" s="473">
        <f t="shared" si="17"/>
        <v>-968.11872170377819</v>
      </c>
      <c r="M32" s="473">
        <f t="shared" si="18"/>
        <v>-40059.250920477032</v>
      </c>
      <c r="N32" s="473">
        <f t="shared" si="19"/>
        <v>-72546.887462775281</v>
      </c>
      <c r="O32" s="473">
        <f t="shared" si="20"/>
        <v>-1400.4110016102686</v>
      </c>
      <c r="P32" s="473">
        <f t="shared" si="6"/>
        <v>-2944.1536264349993</v>
      </c>
      <c r="Q32" s="473">
        <f t="shared" si="7"/>
        <v>-117918.82173300136</v>
      </c>
      <c r="R32" s="469">
        <f t="shared" si="8"/>
        <v>-34887.924405954174</v>
      </c>
      <c r="W32" s="470">
        <f t="shared" si="9"/>
        <v>-286.43139646753929</v>
      </c>
      <c r="X32" s="470">
        <f t="shared" si="10"/>
        <v>-11852.086862241926</v>
      </c>
      <c r="Y32" s="470">
        <f t="shared" si="11"/>
        <v>-21464.006241678951</v>
      </c>
      <c r="Z32" s="470">
        <f t="shared" si="12"/>
        <v>-414.33108339626614</v>
      </c>
    </row>
    <row r="33" spans="1:28" ht="15" customHeight="1" x14ac:dyDescent="0.3">
      <c r="A33" s="463">
        <f t="shared" si="14"/>
        <v>19</v>
      </c>
      <c r="B33" s="463">
        <f t="shared" si="13"/>
        <v>2037</v>
      </c>
      <c r="C33" s="421">
        <v>29041.45</v>
      </c>
      <c r="D33" s="464">
        <v>3048.55</v>
      </c>
      <c r="E33" s="471">
        <v>-0.7</v>
      </c>
      <c r="F33" s="466">
        <f t="shared" si="3"/>
        <v>-7420090.4749999996</v>
      </c>
      <c r="G33" s="466">
        <f t="shared" si="4"/>
        <v>-778904.52500000002</v>
      </c>
      <c r="H33" s="467">
        <f t="shared" si="15"/>
        <v>-0.46302898546052973</v>
      </c>
      <c r="I33" s="467">
        <f t="shared" si="16"/>
        <v>-4.6784633039928236</v>
      </c>
      <c r="J33" s="467">
        <f t="shared" si="16"/>
        <v>-0.18960389486731841</v>
      </c>
      <c r="K33" s="467">
        <f t="shared" si="16"/>
        <v>-2.8074798160594945E-2</v>
      </c>
      <c r="L33" s="473">
        <f t="shared" si="17"/>
        <v>-972.36086946711248</v>
      </c>
      <c r="M33" s="473">
        <f t="shared" si="18"/>
        <v>-40234.784414338283</v>
      </c>
      <c r="N33" s="473">
        <f t="shared" si="19"/>
        <v>-72864.776797510465</v>
      </c>
      <c r="O33" s="473">
        <f t="shared" si="20"/>
        <v>-1406.5473878458067</v>
      </c>
      <c r="P33" s="473">
        <f t="shared" si="6"/>
        <v>-2957.0544560969997</v>
      </c>
      <c r="Q33" s="473">
        <f t="shared" si="7"/>
        <v>-118435.52392525866</v>
      </c>
      <c r="R33" s="469">
        <f t="shared" si="8"/>
        <v>-32748.40928983867</v>
      </c>
      <c r="W33" s="470">
        <f t="shared" si="9"/>
        <v>-268.86588310132174</v>
      </c>
      <c r="X33" s="470">
        <f t="shared" si="10"/>
        <v>-11125.253167459185</v>
      </c>
      <c r="Y33" s="470">
        <f t="shared" si="11"/>
        <v>-20147.717967486515</v>
      </c>
      <c r="Z33" s="470">
        <f t="shared" si="12"/>
        <v>-388.92207351399475</v>
      </c>
    </row>
    <row r="34" spans="1:28" ht="15" customHeight="1" x14ac:dyDescent="0.3">
      <c r="A34" s="463">
        <f t="shared" si="14"/>
        <v>20</v>
      </c>
      <c r="B34" s="463">
        <f t="shared" si="13"/>
        <v>2038</v>
      </c>
      <c r="C34" s="421">
        <v>29168.15</v>
      </c>
      <c r="D34" s="464">
        <v>3061.85</v>
      </c>
      <c r="E34" s="471">
        <v>-0.7</v>
      </c>
      <c r="F34" s="466">
        <f t="shared" si="3"/>
        <v>-7452462.3249999993</v>
      </c>
      <c r="G34" s="466">
        <f t="shared" si="4"/>
        <v>-782302.67499999981</v>
      </c>
      <c r="H34" s="467">
        <f t="shared" si="15"/>
        <v>-0.46504905582402217</v>
      </c>
      <c r="I34" s="467">
        <f t="shared" si="16"/>
        <v>-4.6988741753720369</v>
      </c>
      <c r="J34" s="467">
        <f t="shared" si="16"/>
        <v>-0.19043108543389436</v>
      </c>
      <c r="K34" s="467">
        <f t="shared" si="16"/>
        <v>-2.8197280919787317E-2</v>
      </c>
      <c r="L34" s="473">
        <f t="shared" si="17"/>
        <v>-976.60301723044654</v>
      </c>
      <c r="M34" s="473">
        <f t="shared" si="18"/>
        <v>-40410.317908199519</v>
      </c>
      <c r="N34" s="473">
        <f t="shared" si="19"/>
        <v>-73182.666132245606</v>
      </c>
      <c r="O34" s="473">
        <f t="shared" si="20"/>
        <v>-1412.6837740813446</v>
      </c>
      <c r="P34" s="473">
        <f t="shared" si="6"/>
        <v>-2969.9552857589993</v>
      </c>
      <c r="Q34" s="473">
        <f t="shared" si="7"/>
        <v>-118952.22611751592</v>
      </c>
      <c r="R34" s="469">
        <f t="shared" si="8"/>
        <v>-30739.515655778294</v>
      </c>
      <c r="W34" s="470">
        <f t="shared" si="9"/>
        <v>-252.37277785770743</v>
      </c>
      <c r="X34" s="470">
        <f t="shared" si="10"/>
        <v>-10442.794057228341</v>
      </c>
      <c r="Y34" s="470">
        <f t="shared" si="11"/>
        <v>-18911.791605155191</v>
      </c>
      <c r="Z34" s="470">
        <f t="shared" si="12"/>
        <v>-365.06433218943363</v>
      </c>
    </row>
    <row r="35" spans="1:28" ht="15" customHeight="1" x14ac:dyDescent="0.3">
      <c r="A35" s="463">
        <f t="shared" si="14"/>
        <v>21</v>
      </c>
      <c r="B35" s="463">
        <f t="shared" si="13"/>
        <v>2039</v>
      </c>
      <c r="C35" s="421">
        <v>29303.9</v>
      </c>
      <c r="D35" s="464">
        <v>3076.1</v>
      </c>
      <c r="E35" s="471">
        <v>-0.7</v>
      </c>
      <c r="F35" s="466">
        <f t="shared" si="3"/>
        <v>-7487146.4500000002</v>
      </c>
      <c r="G35" s="466">
        <f t="shared" si="4"/>
        <v>-785943.55</v>
      </c>
      <c r="H35" s="467">
        <f t="shared" si="15"/>
        <v>-0.46721341692776419</v>
      </c>
      <c r="I35" s="467">
        <f t="shared" si="16"/>
        <v>-4.7207429661354823</v>
      </c>
      <c r="J35" s="467">
        <f t="shared" si="16"/>
        <v>-0.19131736104094013</v>
      </c>
      <c r="K35" s="467">
        <f t="shared" si="16"/>
        <v>-2.8328512447493435E-2</v>
      </c>
      <c r="L35" s="473">
        <f t="shared" si="17"/>
        <v>-981.14817554830483</v>
      </c>
      <c r="M35" s="473">
        <f t="shared" si="18"/>
        <v>-40598.389508765147</v>
      </c>
      <c r="N35" s="473">
        <f t="shared" si="19"/>
        <v>-73523.261848033289</v>
      </c>
      <c r="O35" s="473">
        <f t="shared" si="20"/>
        <v>-1419.258473619421</v>
      </c>
      <c r="P35" s="473">
        <f t="shared" si="6"/>
        <v>-2983.7776032539996</v>
      </c>
      <c r="Q35" s="473">
        <f t="shared" si="7"/>
        <v>-119505.83560922017</v>
      </c>
      <c r="R35" s="469">
        <f t="shared" si="8"/>
        <v>-28862.223241656819</v>
      </c>
      <c r="W35" s="470">
        <f t="shared" si="9"/>
        <v>-236.96012442788739</v>
      </c>
      <c r="X35" s="470">
        <f t="shared" si="10"/>
        <v>-9805.0423670131931</v>
      </c>
      <c r="Y35" s="470">
        <f t="shared" si="11"/>
        <v>-17756.829916253944</v>
      </c>
      <c r="Z35" s="470">
        <f t="shared" si="12"/>
        <v>-342.76949484847114</v>
      </c>
    </row>
    <row r="36" spans="1:28" ht="15" customHeight="1" x14ac:dyDescent="0.3">
      <c r="A36" s="463">
        <f t="shared" si="14"/>
        <v>22</v>
      </c>
      <c r="B36" s="463">
        <f t="shared" si="13"/>
        <v>2040</v>
      </c>
      <c r="C36" s="421">
        <v>29430.6</v>
      </c>
      <c r="D36" s="464">
        <v>3089.4</v>
      </c>
      <c r="E36" s="471">
        <v>-0.7</v>
      </c>
      <c r="F36" s="466">
        <f t="shared" si="3"/>
        <v>-7519518.2999999998</v>
      </c>
      <c r="G36" s="466">
        <f t="shared" si="4"/>
        <v>-789341.7</v>
      </c>
      <c r="H36" s="467">
        <f t="shared" si="15"/>
        <v>-0.46923348729125658</v>
      </c>
      <c r="I36" s="467">
        <f t="shared" si="16"/>
        <v>-4.7411538375146964</v>
      </c>
      <c r="J36" s="467">
        <f t="shared" si="16"/>
        <v>-0.19214455160751617</v>
      </c>
      <c r="K36" s="467">
        <f t="shared" si="16"/>
        <v>-2.8450995206685807E-2</v>
      </c>
      <c r="L36" s="473">
        <f t="shared" si="17"/>
        <v>-985.39032331163878</v>
      </c>
      <c r="M36" s="473">
        <f t="shared" si="18"/>
        <v>-40773.92300262639</v>
      </c>
      <c r="N36" s="473">
        <f t="shared" si="19"/>
        <v>-73841.151182768459</v>
      </c>
      <c r="O36" s="473">
        <f t="shared" si="20"/>
        <v>-1425.3948598549589</v>
      </c>
      <c r="P36" s="473">
        <f t="shared" si="6"/>
        <v>-2996.678432916</v>
      </c>
      <c r="Q36" s="473">
        <f t="shared" si="7"/>
        <v>-120022.53780147745</v>
      </c>
      <c r="R36" s="469">
        <f t="shared" si="8"/>
        <v>-27090.666900032895</v>
      </c>
      <c r="W36" s="470">
        <f t="shared" si="9"/>
        <v>-222.4155688117996</v>
      </c>
      <c r="X36" s="470">
        <f t="shared" si="10"/>
        <v>-9203.2112177030085</v>
      </c>
      <c r="Y36" s="470">
        <f t="shared" si="11"/>
        <v>-16666.919953951565</v>
      </c>
      <c r="Z36" s="470">
        <f t="shared" si="12"/>
        <v>-321.73038544827722</v>
      </c>
    </row>
    <row r="37" spans="1:28" ht="15" customHeight="1" x14ac:dyDescent="0.3">
      <c r="A37" s="463">
        <f t="shared" si="14"/>
        <v>23</v>
      </c>
      <c r="B37" s="463">
        <f t="shared" si="13"/>
        <v>2041</v>
      </c>
      <c r="C37" s="421">
        <v>29566.35</v>
      </c>
      <c r="D37" s="464">
        <v>3103.65</v>
      </c>
      <c r="E37" s="471">
        <v>-0.7</v>
      </c>
      <c r="F37" s="466">
        <f t="shared" si="3"/>
        <v>-7554202.4249999989</v>
      </c>
      <c r="G37" s="466">
        <f t="shared" si="4"/>
        <v>-792982.57499999995</v>
      </c>
      <c r="H37" s="467">
        <f t="shared" si="15"/>
        <v>-0.4713978483949986</v>
      </c>
      <c r="I37" s="467">
        <f t="shared" si="16"/>
        <v>-4.7630226282781418</v>
      </c>
      <c r="J37" s="467">
        <f t="shared" si="16"/>
        <v>-0.19303082721456191</v>
      </c>
      <c r="K37" s="467">
        <f t="shared" si="16"/>
        <v>-2.8582226734391921E-2</v>
      </c>
      <c r="L37" s="473">
        <f t="shared" si="17"/>
        <v>-989.93548162949708</v>
      </c>
      <c r="M37" s="473">
        <f t="shared" si="18"/>
        <v>-40961.994603192019</v>
      </c>
      <c r="N37" s="473">
        <f t="shared" si="19"/>
        <v>-74181.746898556143</v>
      </c>
      <c r="O37" s="473">
        <f t="shared" si="20"/>
        <v>-1431.9695593930353</v>
      </c>
      <c r="P37" s="473">
        <f t="shared" si="6"/>
        <v>-3010.5007504109994</v>
      </c>
      <c r="Q37" s="473">
        <f t="shared" si="7"/>
        <v>-120576.1472931817</v>
      </c>
      <c r="R37" s="469">
        <f t="shared" si="8"/>
        <v>-25435.162477269914</v>
      </c>
      <c r="W37" s="470">
        <f t="shared" si="9"/>
        <v>-208.82380456258389</v>
      </c>
      <c r="X37" s="470">
        <f t="shared" si="10"/>
        <v>-8640.8050971467546</v>
      </c>
      <c r="Y37" s="470">
        <f t="shared" si="11"/>
        <v>-15648.408309353774</v>
      </c>
      <c r="Z37" s="470">
        <f t="shared" si="12"/>
        <v>-302.06951559917741</v>
      </c>
    </row>
    <row r="38" spans="1:28" ht="15" customHeight="1" x14ac:dyDescent="0.3">
      <c r="A38" s="463">
        <f t="shared" si="14"/>
        <v>24</v>
      </c>
      <c r="B38" s="463">
        <f t="shared" si="13"/>
        <v>2042</v>
      </c>
      <c r="C38" s="421">
        <v>29693.05</v>
      </c>
      <c r="D38" s="464">
        <v>3116.95</v>
      </c>
      <c r="E38" s="471">
        <v>-0.7</v>
      </c>
      <c r="F38" s="466">
        <f t="shared" si="3"/>
        <v>-7586574.2749999994</v>
      </c>
      <c r="G38" s="466">
        <f t="shared" si="4"/>
        <v>-796380.72499999998</v>
      </c>
      <c r="H38" s="467">
        <f t="shared" si="15"/>
        <v>-0.47341791875849115</v>
      </c>
      <c r="I38" s="467">
        <f t="shared" si="16"/>
        <v>-4.783433499657356</v>
      </c>
      <c r="J38" s="467">
        <f t="shared" si="16"/>
        <v>-0.19385801778113793</v>
      </c>
      <c r="K38" s="467">
        <f t="shared" si="16"/>
        <v>-2.8704709493584293E-2</v>
      </c>
      <c r="L38" s="473">
        <f t="shared" si="17"/>
        <v>-994.17762939283136</v>
      </c>
      <c r="M38" s="473">
        <f t="shared" si="18"/>
        <v>-41137.528097053262</v>
      </c>
      <c r="N38" s="473">
        <f t="shared" si="19"/>
        <v>-74499.636233291298</v>
      </c>
      <c r="O38" s="473">
        <f t="shared" si="20"/>
        <v>-1438.1059456285732</v>
      </c>
      <c r="P38" s="473">
        <f t="shared" si="6"/>
        <v>-3023.4015800729994</v>
      </c>
      <c r="Q38" s="473">
        <f t="shared" si="7"/>
        <v>-121092.84948543896</v>
      </c>
      <c r="R38" s="469">
        <f t="shared" si="8"/>
        <v>-23873.045976022633</v>
      </c>
      <c r="W38" s="470">
        <f t="shared" si="9"/>
        <v>-195.99875926350384</v>
      </c>
      <c r="X38" s="470">
        <f t="shared" si="10"/>
        <v>-8110.1246173826912</v>
      </c>
      <c r="Y38" s="470">
        <f t="shared" si="11"/>
        <v>-14687.351470808258</v>
      </c>
      <c r="Z38" s="470">
        <f t="shared" si="12"/>
        <v>-283.51772630894072</v>
      </c>
    </row>
    <row r="39" spans="1:28" ht="15" customHeight="1" x14ac:dyDescent="0.3">
      <c r="A39" s="463">
        <f t="shared" si="14"/>
        <v>25</v>
      </c>
      <c r="B39" s="463">
        <f t="shared" si="13"/>
        <v>2043</v>
      </c>
      <c r="C39" s="421">
        <v>29828.799999999999</v>
      </c>
      <c r="D39" s="464">
        <v>3131.2</v>
      </c>
      <c r="E39" s="471">
        <v>-0.7</v>
      </c>
      <c r="F39" s="466">
        <f t="shared" si="3"/>
        <v>-7621258.4000000004</v>
      </c>
      <c r="G39" s="466">
        <f t="shared" si="4"/>
        <v>-800021.59999999986</v>
      </c>
      <c r="H39" s="467">
        <f t="shared" si="15"/>
        <v>-0.47558227986223311</v>
      </c>
      <c r="I39" s="467">
        <f t="shared" si="16"/>
        <v>-4.8053022904207987</v>
      </c>
      <c r="J39" s="467">
        <f t="shared" si="16"/>
        <v>-0.19474429338818369</v>
      </c>
      <c r="K39" s="467">
        <f t="shared" si="16"/>
        <v>-2.8835941021290414E-2</v>
      </c>
      <c r="L39" s="473">
        <f t="shared" si="17"/>
        <v>-998.72278771068954</v>
      </c>
      <c r="M39" s="473">
        <f t="shared" si="18"/>
        <v>-41325.599697618869</v>
      </c>
      <c r="N39" s="473">
        <f t="shared" si="19"/>
        <v>-74840.231949078996</v>
      </c>
      <c r="O39" s="473">
        <f t="shared" si="20"/>
        <v>-1444.6806451666498</v>
      </c>
      <c r="P39" s="473">
        <f t="shared" si="6"/>
        <v>-3037.2238975679998</v>
      </c>
      <c r="Q39" s="473">
        <f t="shared" si="7"/>
        <v>-121646.45897714319</v>
      </c>
      <c r="R39" s="469">
        <f t="shared" si="8"/>
        <v>-22413.26001503149</v>
      </c>
      <c r="W39" s="470">
        <f t="shared" si="9"/>
        <v>-184.01385220841283</v>
      </c>
      <c r="X39" s="470">
        <f t="shared" si="10"/>
        <v>-7614.2077548995894</v>
      </c>
      <c r="Y39" s="470">
        <f t="shared" si="11"/>
        <v>-13789.251182191441</v>
      </c>
      <c r="Z39" s="470">
        <f t="shared" si="12"/>
        <v>-266.18122065425365</v>
      </c>
    </row>
    <row r="40" spans="1:28" ht="15" customHeight="1" x14ac:dyDescent="0.3">
      <c r="A40" s="463">
        <f t="shared" si="14"/>
        <v>26</v>
      </c>
      <c r="B40" s="463">
        <f t="shared" si="13"/>
        <v>2044</v>
      </c>
      <c r="C40" s="421">
        <v>29955.5</v>
      </c>
      <c r="D40" s="464">
        <v>3144.5</v>
      </c>
      <c r="E40" s="471">
        <v>-0.7</v>
      </c>
      <c r="F40" s="466">
        <f t="shared" si="3"/>
        <v>-7653630.2499999991</v>
      </c>
      <c r="G40" s="466">
        <f t="shared" si="4"/>
        <v>-803419.74999999988</v>
      </c>
      <c r="H40" s="467">
        <f t="shared" si="15"/>
        <v>-0.47760235022572556</v>
      </c>
      <c r="I40" s="467">
        <f t="shared" si="16"/>
        <v>-4.8257131618000138</v>
      </c>
      <c r="J40" s="467">
        <f t="shared" si="16"/>
        <v>-0.19557148395475968</v>
      </c>
      <c r="K40" s="467">
        <f t="shared" si="16"/>
        <v>-2.8958423780482787E-2</v>
      </c>
      <c r="L40" s="473">
        <f t="shared" si="17"/>
        <v>-1002.9649354740237</v>
      </c>
      <c r="M40" s="473">
        <f t="shared" si="18"/>
        <v>-41501.133191480119</v>
      </c>
      <c r="N40" s="473">
        <f t="shared" si="19"/>
        <v>-75158.121283814151</v>
      </c>
      <c r="O40" s="473">
        <f t="shared" si="20"/>
        <v>-1450.8170314021877</v>
      </c>
      <c r="P40" s="473">
        <f t="shared" si="6"/>
        <v>-3050.1247272299997</v>
      </c>
      <c r="Q40" s="473">
        <f t="shared" si="7"/>
        <v>-122163.16116940048</v>
      </c>
      <c r="R40" s="469">
        <f t="shared" si="8"/>
        <v>-21035.945765400782</v>
      </c>
      <c r="W40" s="470">
        <f t="shared" si="9"/>
        <v>-172.70604153713549</v>
      </c>
      <c r="X40" s="470">
        <f t="shared" si="10"/>
        <v>-7146.3080904403087</v>
      </c>
      <c r="Y40" s="470">
        <f t="shared" si="11"/>
        <v>-12941.889748279895</v>
      </c>
      <c r="Z40" s="470">
        <f t="shared" si="12"/>
        <v>-249.8241539916919</v>
      </c>
    </row>
    <row r="41" spans="1:28" ht="15" customHeight="1" x14ac:dyDescent="0.3">
      <c r="A41" s="463">
        <f t="shared" si="14"/>
        <v>27</v>
      </c>
      <c r="B41" s="463">
        <f t="shared" si="13"/>
        <v>2045</v>
      </c>
      <c r="C41" s="421">
        <v>30091.25</v>
      </c>
      <c r="D41" s="464">
        <v>3158.75</v>
      </c>
      <c r="E41" s="471">
        <v>-0.7</v>
      </c>
      <c r="F41" s="466">
        <f t="shared" si="3"/>
        <v>-7688314.375</v>
      </c>
      <c r="G41" s="466">
        <f t="shared" si="4"/>
        <v>-807060.625</v>
      </c>
      <c r="H41" s="467">
        <f t="shared" si="15"/>
        <v>-0.47976671132946763</v>
      </c>
      <c r="I41" s="467">
        <f t="shared" si="16"/>
        <v>-4.8475819525634591</v>
      </c>
      <c r="J41" s="467">
        <f t="shared" si="16"/>
        <v>-0.19645775956180545</v>
      </c>
      <c r="K41" s="467">
        <f t="shared" si="16"/>
        <v>-2.9089655308188907E-2</v>
      </c>
      <c r="L41" s="473">
        <f t="shared" si="17"/>
        <v>-1007.510093791882</v>
      </c>
      <c r="M41" s="473">
        <f t="shared" si="18"/>
        <v>-41689.204792045748</v>
      </c>
      <c r="N41" s="473">
        <f t="shared" si="19"/>
        <v>-75498.716999601835</v>
      </c>
      <c r="O41" s="473">
        <f t="shared" si="20"/>
        <v>-1457.3917309402643</v>
      </c>
      <c r="P41" s="473">
        <f t="shared" si="6"/>
        <v>-3063.9470447250001</v>
      </c>
      <c r="Q41" s="473">
        <f t="shared" si="7"/>
        <v>-122716.77066110473</v>
      </c>
      <c r="R41" s="469">
        <f t="shared" si="8"/>
        <v>-19748.854976411778</v>
      </c>
      <c r="W41" s="470">
        <f t="shared" si="9"/>
        <v>-162.13896945279822</v>
      </c>
      <c r="X41" s="470">
        <f t="shared" si="10"/>
        <v>-6709.0590396459402</v>
      </c>
      <c r="Y41" s="470">
        <f t="shared" si="11"/>
        <v>-12150.036257455642</v>
      </c>
      <c r="Z41" s="470">
        <f t="shared" si="12"/>
        <v>-234.53858656079723</v>
      </c>
    </row>
    <row r="42" spans="1:28" ht="15" customHeight="1" x14ac:dyDescent="0.3">
      <c r="A42" s="463">
        <f t="shared" si="14"/>
        <v>28</v>
      </c>
      <c r="B42" s="463">
        <f t="shared" si="13"/>
        <v>2046</v>
      </c>
      <c r="C42" s="421">
        <v>30217.95</v>
      </c>
      <c r="D42" s="464">
        <v>3172.05</v>
      </c>
      <c r="E42" s="471">
        <v>-0.7</v>
      </c>
      <c r="F42" s="466">
        <f t="shared" si="3"/>
        <v>-7720686.2249999996</v>
      </c>
      <c r="G42" s="466">
        <f t="shared" si="4"/>
        <v>-810458.77500000002</v>
      </c>
      <c r="H42" s="467">
        <f t="shared" si="15"/>
        <v>-0.48178678169296002</v>
      </c>
      <c r="I42" s="467">
        <f t="shared" si="16"/>
        <v>-4.8679928239426733</v>
      </c>
      <c r="J42" s="467">
        <f t="shared" si="16"/>
        <v>-0.19728495012838146</v>
      </c>
      <c r="K42" s="467">
        <f t="shared" si="16"/>
        <v>-2.9212138067381276E-2</v>
      </c>
      <c r="L42" s="473">
        <f t="shared" si="17"/>
        <v>-1011.7522415552161</v>
      </c>
      <c r="M42" s="473">
        <f t="shared" si="18"/>
        <v>-41864.738285906991</v>
      </c>
      <c r="N42" s="473">
        <f t="shared" si="19"/>
        <v>-75816.60633433699</v>
      </c>
      <c r="O42" s="473">
        <f t="shared" si="20"/>
        <v>-1463.528117175802</v>
      </c>
      <c r="P42" s="473">
        <f t="shared" si="6"/>
        <v>-3076.8478743869996</v>
      </c>
      <c r="Q42" s="473">
        <f t="shared" si="7"/>
        <v>-123233.47285336198</v>
      </c>
      <c r="R42" s="469">
        <f t="shared" si="8"/>
        <v>-18534.586962613706</v>
      </c>
      <c r="W42" s="470">
        <f t="shared" si="9"/>
        <v>-152.16977556120955</v>
      </c>
      <c r="X42" s="470">
        <f t="shared" si="10"/>
        <v>-6296.5492610154724</v>
      </c>
      <c r="Y42" s="470">
        <f t="shared" si="11"/>
        <v>-11402.985331640612</v>
      </c>
      <c r="Z42" s="470">
        <f t="shared" si="12"/>
        <v>-220.11786677717714</v>
      </c>
    </row>
    <row r="43" spans="1:28" ht="15" customHeight="1" x14ac:dyDescent="0.3">
      <c r="A43" s="463">
        <f t="shared" si="14"/>
        <v>29</v>
      </c>
      <c r="B43" s="463">
        <f t="shared" si="13"/>
        <v>2047</v>
      </c>
      <c r="C43" s="421">
        <v>30353.7</v>
      </c>
      <c r="D43" s="464">
        <v>3186.3</v>
      </c>
      <c r="E43" s="471">
        <v>-0.7</v>
      </c>
      <c r="F43" s="466">
        <f t="shared" si="3"/>
        <v>-7755370.3499999996</v>
      </c>
      <c r="G43" s="466">
        <f t="shared" si="4"/>
        <v>-814099.64999999991</v>
      </c>
      <c r="H43" s="467">
        <f t="shared" si="15"/>
        <v>-0.48395114279670198</v>
      </c>
      <c r="I43" s="467">
        <f t="shared" si="16"/>
        <v>-4.8898616147061169</v>
      </c>
      <c r="J43" s="467">
        <f t="shared" si="16"/>
        <v>-0.19817122573542723</v>
      </c>
      <c r="K43" s="467">
        <f t="shared" si="16"/>
        <v>-2.934336959508739E-2</v>
      </c>
      <c r="L43" s="473">
        <f t="shared" si="17"/>
        <v>-1016.2973998730741</v>
      </c>
      <c r="M43" s="473">
        <f t="shared" si="18"/>
        <v>-42052.809886472605</v>
      </c>
      <c r="N43" s="473">
        <f t="shared" si="19"/>
        <v>-76157.202050124688</v>
      </c>
      <c r="O43" s="473">
        <f t="shared" si="20"/>
        <v>-1470.1028167138782</v>
      </c>
      <c r="P43" s="473">
        <f t="shared" si="6"/>
        <v>-3090.6701918819995</v>
      </c>
      <c r="Q43" s="473">
        <f t="shared" si="7"/>
        <v>-123787.08234506624</v>
      </c>
      <c r="R43" s="469">
        <f t="shared" si="8"/>
        <v>-17399.860799054615</v>
      </c>
      <c r="W43" s="470">
        <f t="shared" si="9"/>
        <v>-142.8536237645433</v>
      </c>
      <c r="X43" s="470">
        <f t="shared" si="10"/>
        <v>-5911.0613512484551</v>
      </c>
      <c r="Y43" s="470">
        <f t="shared" si="11"/>
        <v>-10704.870729756411</v>
      </c>
      <c r="Z43" s="470">
        <f t="shared" si="12"/>
        <v>-206.64179077922262</v>
      </c>
    </row>
    <row r="44" spans="1:28" ht="15" customHeight="1" x14ac:dyDescent="0.3">
      <c r="A44" s="463">
        <f t="shared" ref="A44:A45" si="21">1+A43</f>
        <v>30</v>
      </c>
      <c r="B44" s="463">
        <f t="shared" ref="B44:B45" si="22">1+B43</f>
        <v>2048</v>
      </c>
      <c r="C44" s="421">
        <v>30480.400000000001</v>
      </c>
      <c r="D44" s="464">
        <v>3199.6</v>
      </c>
      <c r="E44" s="471">
        <v>-0.7</v>
      </c>
      <c r="F44" s="466">
        <f t="shared" si="3"/>
        <v>-7787742.1999999993</v>
      </c>
      <c r="G44" s="466">
        <f t="shared" si="4"/>
        <v>-817497.79999999993</v>
      </c>
      <c r="H44" s="467">
        <f t="shared" ref="H44:K45" si="23">($F44*H$8+$G44*H$11)/1000000*1.1015</f>
        <v>-0.48597121316019443</v>
      </c>
      <c r="I44" s="467">
        <f t="shared" si="23"/>
        <v>-4.9102724860853311</v>
      </c>
      <c r="J44" s="467">
        <f t="shared" si="23"/>
        <v>-0.19899841630200321</v>
      </c>
      <c r="K44" s="467">
        <f t="shared" si="23"/>
        <v>-2.9465852354279766E-2</v>
      </c>
      <c r="L44" s="473">
        <f t="shared" ref="L44:L45" si="24">H44*L$7</f>
        <v>-1020.5395476364083</v>
      </c>
      <c r="M44" s="473">
        <f t="shared" ref="M44:M45" si="25">I44*M$7</f>
        <v>-42228.343380333848</v>
      </c>
      <c r="N44" s="473">
        <f t="shared" ref="N44:N45" si="26">J44*N$7</f>
        <v>-76475.091384859828</v>
      </c>
      <c r="O44" s="473">
        <f t="shared" ref="O44:O45" si="27">K44*O$7</f>
        <v>-1476.2392029494163</v>
      </c>
      <c r="P44" s="473">
        <f t="shared" si="6"/>
        <v>-3103.5710215439994</v>
      </c>
      <c r="Q44" s="473">
        <f t="shared" si="7"/>
        <v>-124303.7845373235</v>
      </c>
      <c r="R44" s="469">
        <f t="shared" ref="R44:R45" si="28">Q44/(1+0.07)^A44</f>
        <v>-16329.429826073465</v>
      </c>
      <c r="W44" s="470">
        <f t="shared" si="9"/>
        <v>-134.06533831524413</v>
      </c>
      <c r="X44" s="470">
        <f t="shared" si="10"/>
        <v>-5547.4157320885633</v>
      </c>
      <c r="Y44" s="470">
        <f t="shared" si="11"/>
        <v>-10046.312289362842</v>
      </c>
      <c r="Z44" s="470">
        <f t="shared" si="12"/>
        <v>-193.92928832205425</v>
      </c>
    </row>
    <row r="45" spans="1:28" ht="15" customHeight="1" x14ac:dyDescent="0.3">
      <c r="A45" s="463">
        <f t="shared" si="21"/>
        <v>31</v>
      </c>
      <c r="B45" s="463">
        <f t="shared" si="22"/>
        <v>2049</v>
      </c>
      <c r="C45" s="421">
        <v>30480.400000000001</v>
      </c>
      <c r="D45" s="464">
        <v>3199.6</v>
      </c>
      <c r="E45" s="474">
        <v>-0.7</v>
      </c>
      <c r="F45" s="466">
        <f t="shared" si="3"/>
        <v>-7787742.1999999993</v>
      </c>
      <c r="G45" s="466">
        <f t="shared" si="4"/>
        <v>-817497.79999999993</v>
      </c>
      <c r="H45" s="467">
        <f t="shared" si="23"/>
        <v>-0.48597121316019443</v>
      </c>
      <c r="I45" s="467">
        <f t="shared" si="23"/>
        <v>-4.9102724860853311</v>
      </c>
      <c r="J45" s="467">
        <f t="shared" si="23"/>
        <v>-0.19899841630200321</v>
      </c>
      <c r="K45" s="467">
        <f t="shared" si="23"/>
        <v>-2.9465852354279766E-2</v>
      </c>
      <c r="L45" s="473">
        <f t="shared" si="24"/>
        <v>-1020.5395476364083</v>
      </c>
      <c r="M45" s="473">
        <f t="shared" si="25"/>
        <v>-42228.343380333848</v>
      </c>
      <c r="N45" s="473">
        <f t="shared" si="26"/>
        <v>-76475.091384859828</v>
      </c>
      <c r="O45" s="473">
        <f t="shared" si="27"/>
        <v>-1476.2392029494163</v>
      </c>
      <c r="P45" s="473">
        <f t="shared" si="6"/>
        <v>-3103.5710215439994</v>
      </c>
      <c r="Q45" s="473">
        <f t="shared" si="7"/>
        <v>-124303.7845373235</v>
      </c>
      <c r="R45" s="469">
        <f t="shared" si="28"/>
        <v>-15261.149370162115</v>
      </c>
      <c r="W45" s="470">
        <f t="shared" si="9"/>
        <v>-125.29470870583562</v>
      </c>
      <c r="X45" s="470">
        <f t="shared" si="10"/>
        <v>-5184.500684194918</v>
      </c>
      <c r="Y45" s="470">
        <f t="shared" si="11"/>
        <v>-9389.0769059465802</v>
      </c>
      <c r="Z45" s="470">
        <f t="shared" si="12"/>
        <v>-181.24232553463011</v>
      </c>
    </row>
    <row r="46" spans="1:28" ht="15" customHeight="1" x14ac:dyDescent="0.3">
      <c r="A46" s="307" t="s">
        <v>40</v>
      </c>
      <c r="B46" s="308"/>
      <c r="C46" s="308"/>
      <c r="D46" s="308"/>
      <c r="E46" s="308"/>
      <c r="F46" s="308"/>
      <c r="G46" s="308"/>
      <c r="H46" s="308"/>
      <c r="I46" s="308"/>
      <c r="J46" s="308"/>
      <c r="K46" s="308"/>
      <c r="L46" s="308"/>
      <c r="M46" s="308"/>
      <c r="N46" s="308"/>
      <c r="O46" s="308"/>
      <c r="P46" s="308"/>
      <c r="Q46" s="308"/>
      <c r="R46" s="309">
        <f>SUM(R14:R43)</f>
        <v>-874085.3830209201</v>
      </c>
      <c r="W46" s="475">
        <f>SUM(W14:W43)</f>
        <v>-7176.2795051177427</v>
      </c>
      <c r="X46" s="475">
        <f>SUM(X14:X43)</f>
        <v>-296943.31379633164</v>
      </c>
      <c r="Y46" s="475">
        <f>SUM(Y14:Y43)</f>
        <v>-537761.25798184308</v>
      </c>
      <c r="Z46" s="475">
        <f>SUM(Z14:Z43)</f>
        <v>-10380.690450764954</v>
      </c>
      <c r="AB46" s="208"/>
    </row>
    <row r="49" spans="1:26" ht="15" customHeight="1" x14ac:dyDescent="0.25">
      <c r="A49" s="38" t="s">
        <v>244</v>
      </c>
    </row>
    <row r="51" spans="1:26" ht="15" customHeight="1" x14ac:dyDescent="0.25">
      <c r="A51" s="581" t="s">
        <v>175</v>
      </c>
      <c r="B51" s="582"/>
      <c r="C51" s="582"/>
      <c r="D51" s="582"/>
      <c r="E51" s="582"/>
      <c r="F51" s="582"/>
      <c r="G51" s="582"/>
      <c r="H51" s="582"/>
      <c r="I51" s="582"/>
      <c r="J51" s="582"/>
      <c r="K51" s="582"/>
      <c r="L51" s="582"/>
      <c r="M51" s="582"/>
      <c r="N51" s="582"/>
      <c r="O51" s="582"/>
      <c r="P51" s="582"/>
      <c r="Q51" s="582"/>
      <c r="R51" s="582"/>
    </row>
    <row r="52" spans="1:26" ht="15" customHeight="1" x14ac:dyDescent="0.3">
      <c r="A52" s="476" t="s">
        <v>145</v>
      </c>
      <c r="B52" s="476" t="s">
        <v>146</v>
      </c>
      <c r="C52" s="476" t="s">
        <v>147</v>
      </c>
      <c r="D52" s="476" t="s">
        <v>148</v>
      </c>
      <c r="E52" s="476" t="s">
        <v>149</v>
      </c>
      <c r="F52" s="476" t="s">
        <v>150</v>
      </c>
      <c r="G52" s="476" t="s">
        <v>151</v>
      </c>
      <c r="H52" s="476" t="s">
        <v>152</v>
      </c>
      <c r="I52" s="476" t="s">
        <v>153</v>
      </c>
      <c r="J52" s="476" t="s">
        <v>154</v>
      </c>
      <c r="K52" s="476" t="s">
        <v>155</v>
      </c>
      <c r="L52" s="476" t="s">
        <v>88</v>
      </c>
      <c r="M52" s="476" t="s">
        <v>156</v>
      </c>
      <c r="N52" s="476" t="s">
        <v>157</v>
      </c>
      <c r="O52" s="476" t="s">
        <v>158</v>
      </c>
      <c r="P52" s="477" t="s">
        <v>159</v>
      </c>
      <c r="Q52" s="477" t="s">
        <v>192</v>
      </c>
      <c r="R52" s="477" t="s">
        <v>160</v>
      </c>
    </row>
    <row r="53" spans="1:26" ht="15" customHeight="1" x14ac:dyDescent="0.3">
      <c r="A53" s="151" t="s">
        <v>193</v>
      </c>
      <c r="B53" s="151" t="s">
        <v>245</v>
      </c>
      <c r="C53" s="151" t="s">
        <v>246</v>
      </c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2"/>
    </row>
    <row r="54" spans="1:26" ht="15" customHeight="1" x14ac:dyDescent="0.3">
      <c r="A54" s="151" t="s">
        <v>196</v>
      </c>
      <c r="B54" s="151">
        <v>22260</v>
      </c>
      <c r="C54" s="151"/>
      <c r="D54" s="151"/>
      <c r="E54" s="151"/>
      <c r="F54" s="151"/>
      <c r="G54" s="151"/>
      <c r="H54" s="151" t="s">
        <v>197</v>
      </c>
      <c r="I54" s="151"/>
      <c r="J54" s="151"/>
      <c r="K54" s="151"/>
      <c r="L54" s="151" t="s">
        <v>198</v>
      </c>
      <c r="M54" s="151"/>
      <c r="N54" s="151"/>
      <c r="O54" s="151"/>
      <c r="P54" s="453" t="s">
        <v>199</v>
      </c>
      <c r="Q54" s="454"/>
      <c r="R54" s="455"/>
    </row>
    <row r="55" spans="1:26" ht="15" customHeight="1" x14ac:dyDescent="0.3">
      <c r="A55" s="151" t="s">
        <v>200</v>
      </c>
      <c r="B55" s="151"/>
      <c r="C55" s="151">
        <v>2018</v>
      </c>
      <c r="D55" s="151"/>
      <c r="E55" s="151"/>
      <c r="F55" s="151"/>
      <c r="G55" s="151"/>
      <c r="H55" s="151" t="s">
        <v>201</v>
      </c>
      <c r="I55" s="151"/>
      <c r="J55" s="151"/>
      <c r="K55" s="151"/>
      <c r="L55" s="151" t="s">
        <v>202</v>
      </c>
      <c r="M55" s="151"/>
      <c r="N55" s="151"/>
      <c r="O55" s="151"/>
      <c r="P55" s="303" t="s">
        <v>203</v>
      </c>
      <c r="Q55" s="151"/>
      <c r="R55" s="153"/>
    </row>
    <row r="56" spans="1:26" ht="15" customHeight="1" x14ac:dyDescent="0.3">
      <c r="A56" s="151" t="s">
        <v>204</v>
      </c>
      <c r="B56" s="151"/>
      <c r="C56" s="151">
        <v>4060</v>
      </c>
      <c r="D56" s="151" t="s">
        <v>205</v>
      </c>
      <c r="E56" s="151"/>
      <c r="F56" s="151"/>
      <c r="G56" s="151"/>
      <c r="H56" s="151" t="s">
        <v>206</v>
      </c>
      <c r="I56" s="151"/>
      <c r="J56" s="151"/>
      <c r="K56" s="151"/>
      <c r="L56" s="151" t="s">
        <v>207</v>
      </c>
      <c r="M56" s="151" t="s">
        <v>208</v>
      </c>
      <c r="N56" s="151" t="s">
        <v>209</v>
      </c>
      <c r="O56" s="151" t="s">
        <v>210</v>
      </c>
      <c r="P56" s="456" t="s">
        <v>211</v>
      </c>
      <c r="Q56" s="457"/>
      <c r="R56" s="458"/>
    </row>
    <row r="57" spans="1:26" ht="15" customHeight="1" x14ac:dyDescent="0.3">
      <c r="A57" s="151" t="s">
        <v>212</v>
      </c>
      <c r="B57" s="151"/>
      <c r="C57" s="151">
        <v>0.15</v>
      </c>
      <c r="D57" s="151"/>
      <c r="E57" s="154"/>
      <c r="F57" s="151"/>
      <c r="G57" s="151"/>
      <c r="H57" s="151" t="s">
        <v>207</v>
      </c>
      <c r="I57" s="151" t="s">
        <v>213</v>
      </c>
      <c r="J57" s="151" t="s">
        <v>209</v>
      </c>
      <c r="K57" s="151" t="s">
        <v>210</v>
      </c>
      <c r="L57" s="304">
        <v>2100</v>
      </c>
      <c r="M57" s="305">
        <v>8600</v>
      </c>
      <c r="N57" s="305">
        <v>384300</v>
      </c>
      <c r="O57" s="306">
        <v>50100</v>
      </c>
      <c r="P57" s="155"/>
      <c r="Q57" s="151"/>
      <c r="R57" s="152"/>
    </row>
    <row r="58" spans="1:26" ht="15" customHeight="1" x14ac:dyDescent="0.3">
      <c r="A58" s="151" t="s">
        <v>214</v>
      </c>
      <c r="B58" s="151"/>
      <c r="C58" s="151">
        <v>609</v>
      </c>
      <c r="D58" s="151" t="s">
        <v>215</v>
      </c>
      <c r="E58" s="151"/>
      <c r="F58" s="151"/>
      <c r="G58" s="151"/>
      <c r="H58" s="156">
        <v>3.6432281029351699E-2</v>
      </c>
      <c r="I58" s="156">
        <v>0.19581096457956468</v>
      </c>
      <c r="J58" s="156">
        <v>8.753858610025091E-3</v>
      </c>
      <c r="K58" s="156">
        <v>2.2429538425628756E-3</v>
      </c>
      <c r="L58" s="155"/>
      <c r="M58" s="155"/>
      <c r="N58" s="155"/>
      <c r="O58" s="155"/>
      <c r="P58" s="155"/>
      <c r="Q58" s="151"/>
      <c r="R58" s="152"/>
    </row>
    <row r="59" spans="1:26" ht="15" customHeight="1" x14ac:dyDescent="0.3">
      <c r="A59" s="151" t="s">
        <v>216</v>
      </c>
      <c r="B59" s="151"/>
      <c r="C59" s="151">
        <v>1.1499999999999999</v>
      </c>
      <c r="D59" s="151"/>
      <c r="E59" s="151"/>
      <c r="F59" s="151"/>
      <c r="G59" s="151"/>
      <c r="H59" s="151" t="s">
        <v>217</v>
      </c>
      <c r="I59" s="151"/>
      <c r="J59" s="151"/>
      <c r="K59" s="151"/>
      <c r="L59" s="151"/>
      <c r="M59" s="151"/>
      <c r="N59" s="151"/>
      <c r="O59" s="151"/>
      <c r="P59" s="151"/>
      <c r="Q59" s="151"/>
      <c r="R59" s="152"/>
    </row>
    <row r="60" spans="1:26" ht="15" customHeight="1" x14ac:dyDescent="0.3">
      <c r="A60" s="151" t="s">
        <v>218</v>
      </c>
      <c r="B60" s="151"/>
      <c r="C60" s="151">
        <v>2025</v>
      </c>
      <c r="D60" s="151"/>
      <c r="E60" s="151"/>
      <c r="F60" s="151"/>
      <c r="G60" s="151"/>
      <c r="H60" s="151" t="s">
        <v>207</v>
      </c>
      <c r="I60" s="151" t="s">
        <v>213</v>
      </c>
      <c r="J60" s="151" t="s">
        <v>209</v>
      </c>
      <c r="K60" s="151" t="s">
        <v>210</v>
      </c>
      <c r="L60" s="151"/>
      <c r="M60" s="151"/>
      <c r="N60" s="151"/>
      <c r="O60" s="151"/>
      <c r="P60" s="151"/>
      <c r="Q60" s="151"/>
      <c r="R60" s="152"/>
    </row>
    <row r="61" spans="1:26" ht="15" customHeight="1" x14ac:dyDescent="0.3">
      <c r="A61" s="151" t="s">
        <v>219</v>
      </c>
      <c r="B61" s="151"/>
      <c r="C61" s="151">
        <v>1.6</v>
      </c>
      <c r="D61" s="151" t="s">
        <v>220</v>
      </c>
      <c r="E61" s="151"/>
      <c r="F61" s="151"/>
      <c r="G61" s="151"/>
      <c r="H61" s="156">
        <v>0.1926184710123312</v>
      </c>
      <c r="I61" s="156">
        <v>3.5876303775197051</v>
      </c>
      <c r="J61" s="156">
        <v>0.13760098285564054</v>
      </c>
      <c r="K61" s="156">
        <v>1.13555217375917E-2</v>
      </c>
      <c r="L61" s="151"/>
      <c r="M61" s="151"/>
      <c r="N61" s="151"/>
      <c r="O61" s="151"/>
      <c r="P61" s="151"/>
      <c r="Q61" s="151"/>
      <c r="R61" s="152"/>
    </row>
    <row r="62" spans="1:26" ht="15" customHeight="1" x14ac:dyDescent="0.3">
      <c r="A62" s="151" t="s">
        <v>221</v>
      </c>
      <c r="B62" s="151"/>
      <c r="C62" s="151">
        <v>5.5E-2</v>
      </c>
      <c r="D62" s="151" t="s">
        <v>222</v>
      </c>
      <c r="E62" s="151"/>
      <c r="F62" s="151"/>
      <c r="G62" s="151"/>
      <c r="H62" s="151" t="s">
        <v>223</v>
      </c>
      <c r="I62" s="151"/>
      <c r="J62" s="151"/>
      <c r="K62" s="151"/>
      <c r="L62" s="151" t="s">
        <v>224</v>
      </c>
      <c r="M62" s="151"/>
      <c r="N62" s="151"/>
      <c r="O62" s="151"/>
      <c r="P62" s="151"/>
      <c r="Q62" s="151"/>
      <c r="R62" s="152"/>
    </row>
    <row r="63" spans="1:26" ht="15" customHeight="1" x14ac:dyDescent="0.3">
      <c r="A63" s="459" t="s">
        <v>29</v>
      </c>
      <c r="B63" s="459" t="s">
        <v>30</v>
      </c>
      <c r="C63" s="478" t="s">
        <v>225</v>
      </c>
      <c r="D63" s="478" t="s">
        <v>226</v>
      </c>
      <c r="E63" s="478" t="s">
        <v>183</v>
      </c>
      <c r="F63" s="459" t="s">
        <v>227</v>
      </c>
      <c r="G63" s="459" t="s">
        <v>228</v>
      </c>
      <c r="H63" s="459" t="s">
        <v>229</v>
      </c>
      <c r="I63" s="459" t="s">
        <v>230</v>
      </c>
      <c r="J63" s="459" t="s">
        <v>231</v>
      </c>
      <c r="K63" s="459" t="s">
        <v>232</v>
      </c>
      <c r="L63" s="459" t="s">
        <v>233</v>
      </c>
      <c r="M63" s="459" t="s">
        <v>234</v>
      </c>
      <c r="N63" s="459" t="s">
        <v>235</v>
      </c>
      <c r="O63" s="459" t="s">
        <v>236</v>
      </c>
      <c r="P63" s="461" t="s">
        <v>237</v>
      </c>
      <c r="Q63" s="459" t="s">
        <v>238</v>
      </c>
      <c r="R63" s="459" t="s">
        <v>239</v>
      </c>
      <c r="W63" s="462" t="s">
        <v>240</v>
      </c>
      <c r="X63" s="462" t="s">
        <v>241</v>
      </c>
      <c r="Y63" s="462" t="s">
        <v>242</v>
      </c>
      <c r="Z63" s="462" t="s">
        <v>243</v>
      </c>
    </row>
    <row r="64" spans="1:26" ht="15" customHeight="1" x14ac:dyDescent="0.3">
      <c r="A64" s="463">
        <v>0</v>
      </c>
      <c r="B64" s="463">
        <v>2018</v>
      </c>
      <c r="C64" s="479">
        <v>3451</v>
      </c>
      <c r="D64" s="480">
        <v>609</v>
      </c>
      <c r="E64" s="465">
        <v>0</v>
      </c>
      <c r="F64" s="466">
        <f>C64*E64*365</f>
        <v>0</v>
      </c>
      <c r="G64" s="466">
        <f>D64*E64*365</f>
        <v>0</v>
      </c>
      <c r="H64" s="467">
        <f t="shared" ref="H64:K79" si="29">($F64*H$8+$G64*H$11)/1000000*1.1015</f>
        <v>0</v>
      </c>
      <c r="I64" s="467">
        <f t="shared" si="29"/>
        <v>0</v>
      </c>
      <c r="J64" s="467">
        <f t="shared" si="29"/>
        <v>0</v>
      </c>
      <c r="K64" s="467">
        <f t="shared" si="29"/>
        <v>0</v>
      </c>
      <c r="L64" s="468">
        <f>H64*L$7</f>
        <v>0</v>
      </c>
      <c r="M64" s="468">
        <f t="shared" ref="M64:O79" si="30">I64*M$7</f>
        <v>0</v>
      </c>
      <c r="N64" s="468">
        <f t="shared" si="30"/>
        <v>0</v>
      </c>
      <c r="O64" s="468">
        <f t="shared" si="30"/>
        <v>0</v>
      </c>
      <c r="P64" s="468">
        <f>(+F64)*398.52/1000000</f>
        <v>0</v>
      </c>
      <c r="Q64" s="468">
        <f>SUM(L64:P64)</f>
        <v>0</v>
      </c>
      <c r="R64" s="469">
        <f>Q64/(1+0.07)^A64</f>
        <v>0</v>
      </c>
      <c r="W64" s="470">
        <f>L64/(1+0.07)^$A64</f>
        <v>0</v>
      </c>
      <c r="X64" s="470">
        <f t="shared" ref="X64:X95" si="31">M64/(1+0.07)^$A64</f>
        <v>0</v>
      </c>
      <c r="Y64" s="470">
        <f t="shared" ref="Y64:Y95" si="32">N64/(1+0.07)^$A64</f>
        <v>0</v>
      </c>
      <c r="Z64" s="470">
        <f t="shared" ref="Z64:Z95" si="33">O64/(1+0.07)^$A64</f>
        <v>0</v>
      </c>
    </row>
    <row r="65" spans="1:26" ht="15" customHeight="1" x14ac:dyDescent="0.3">
      <c r="A65" s="463">
        <f>1+A64</f>
        <v>1</v>
      </c>
      <c r="B65" s="463">
        <f>1+B64</f>
        <v>2019</v>
      </c>
      <c r="C65" s="479">
        <v>3468</v>
      </c>
      <c r="D65" s="480">
        <v>612</v>
      </c>
      <c r="E65" s="465">
        <v>0</v>
      </c>
      <c r="F65" s="466">
        <f t="shared" ref="F65:F95" si="34">C65*E65*365</f>
        <v>0</v>
      </c>
      <c r="G65" s="466">
        <f t="shared" ref="G65:G95" si="35">D65*E65*365</f>
        <v>0</v>
      </c>
      <c r="H65" s="467">
        <f t="shared" si="29"/>
        <v>0</v>
      </c>
      <c r="I65" s="467">
        <f t="shared" si="29"/>
        <v>0</v>
      </c>
      <c r="J65" s="467">
        <f t="shared" si="29"/>
        <v>0</v>
      </c>
      <c r="K65" s="467">
        <f t="shared" si="29"/>
        <v>0</v>
      </c>
      <c r="L65" s="468">
        <f t="shared" ref="L65:O80" si="36">H65*L$7</f>
        <v>0</v>
      </c>
      <c r="M65" s="468">
        <f t="shared" si="30"/>
        <v>0</v>
      </c>
      <c r="N65" s="468">
        <f t="shared" si="30"/>
        <v>0</v>
      </c>
      <c r="O65" s="468">
        <f t="shared" si="30"/>
        <v>0</v>
      </c>
      <c r="P65" s="468">
        <f t="shared" ref="P65:P95" si="37">(+F65)*398.52/1000000</f>
        <v>0</v>
      </c>
      <c r="Q65" s="468">
        <f t="shared" ref="Q65:Q95" si="38">SUM(L65:P65)</f>
        <v>0</v>
      </c>
      <c r="R65" s="469">
        <f t="shared" ref="R65:R95" si="39">Q65/(1+0.07)^A65</f>
        <v>0</v>
      </c>
      <c r="W65" s="470">
        <f t="shared" ref="W65:W95" si="40">L65/(1+0.07)^$A65</f>
        <v>0</v>
      </c>
      <c r="X65" s="470">
        <f t="shared" si="31"/>
        <v>0</v>
      </c>
      <c r="Y65" s="470">
        <f t="shared" si="32"/>
        <v>0</v>
      </c>
      <c r="Z65" s="470">
        <f t="shared" si="33"/>
        <v>0</v>
      </c>
    </row>
    <row r="66" spans="1:26" ht="15" customHeight="1" x14ac:dyDescent="0.3">
      <c r="A66" s="463">
        <f>1+A65</f>
        <v>2</v>
      </c>
      <c r="B66" s="463">
        <f t="shared" ref="B66:B95" si="41">1+B65</f>
        <v>2020</v>
      </c>
      <c r="C66" s="479">
        <v>3485</v>
      </c>
      <c r="D66" s="480">
        <v>615</v>
      </c>
      <c r="E66" s="465">
        <v>0</v>
      </c>
      <c r="F66" s="466">
        <f t="shared" si="34"/>
        <v>0</v>
      </c>
      <c r="G66" s="466">
        <f>D66*E66*365</f>
        <v>0</v>
      </c>
      <c r="H66" s="467">
        <f t="shared" si="29"/>
        <v>0</v>
      </c>
      <c r="I66" s="467">
        <f t="shared" si="29"/>
        <v>0</v>
      </c>
      <c r="J66" s="467">
        <f t="shared" si="29"/>
        <v>0</v>
      </c>
      <c r="K66" s="467">
        <f t="shared" si="29"/>
        <v>0</v>
      </c>
      <c r="L66" s="468">
        <f t="shared" si="36"/>
        <v>0</v>
      </c>
      <c r="M66" s="468">
        <f t="shared" si="30"/>
        <v>0</v>
      </c>
      <c r="N66" s="468">
        <f t="shared" si="30"/>
        <v>0</v>
      </c>
      <c r="O66" s="468">
        <f t="shared" si="30"/>
        <v>0</v>
      </c>
      <c r="P66" s="468">
        <f t="shared" si="37"/>
        <v>0</v>
      </c>
      <c r="Q66" s="468">
        <f t="shared" si="38"/>
        <v>0</v>
      </c>
      <c r="R66" s="469">
        <f t="shared" si="39"/>
        <v>0</v>
      </c>
      <c r="W66" s="470">
        <f t="shared" si="40"/>
        <v>0</v>
      </c>
      <c r="X66" s="470">
        <f t="shared" si="31"/>
        <v>0</v>
      </c>
      <c r="Y66" s="470">
        <f t="shared" si="32"/>
        <v>0</v>
      </c>
      <c r="Z66" s="470">
        <f t="shared" si="33"/>
        <v>0</v>
      </c>
    </row>
    <row r="67" spans="1:26" ht="15" customHeight="1" x14ac:dyDescent="0.3">
      <c r="A67" s="463">
        <f t="shared" ref="A67:A95" si="42">1+A66</f>
        <v>3</v>
      </c>
      <c r="B67" s="463">
        <f t="shared" si="41"/>
        <v>2021</v>
      </c>
      <c r="C67" s="479">
        <v>3502</v>
      </c>
      <c r="D67" s="480">
        <v>618</v>
      </c>
      <c r="E67" s="465">
        <v>0</v>
      </c>
      <c r="F67" s="466">
        <f t="shared" si="34"/>
        <v>0</v>
      </c>
      <c r="G67" s="466">
        <f t="shared" si="35"/>
        <v>0</v>
      </c>
      <c r="H67" s="467">
        <f t="shared" si="29"/>
        <v>0</v>
      </c>
      <c r="I67" s="467">
        <f t="shared" si="29"/>
        <v>0</v>
      </c>
      <c r="J67" s="467">
        <f t="shared" si="29"/>
        <v>0</v>
      </c>
      <c r="K67" s="467">
        <f t="shared" si="29"/>
        <v>0</v>
      </c>
      <c r="L67" s="468">
        <f t="shared" si="36"/>
        <v>0</v>
      </c>
      <c r="M67" s="468">
        <f t="shared" si="30"/>
        <v>0</v>
      </c>
      <c r="N67" s="468">
        <f t="shared" si="30"/>
        <v>0</v>
      </c>
      <c r="O67" s="468">
        <f t="shared" si="30"/>
        <v>0</v>
      </c>
      <c r="P67" s="468">
        <f t="shared" si="37"/>
        <v>0</v>
      </c>
      <c r="Q67" s="468">
        <f t="shared" si="38"/>
        <v>0</v>
      </c>
      <c r="R67" s="469">
        <f t="shared" si="39"/>
        <v>0</v>
      </c>
      <c r="W67" s="470">
        <f t="shared" si="40"/>
        <v>0</v>
      </c>
      <c r="X67" s="470">
        <f t="shared" si="31"/>
        <v>0</v>
      </c>
      <c r="Y67" s="470">
        <f t="shared" si="32"/>
        <v>0</v>
      </c>
      <c r="Z67" s="470">
        <f t="shared" si="33"/>
        <v>0</v>
      </c>
    </row>
    <row r="68" spans="1:26" ht="15" customHeight="1" x14ac:dyDescent="0.3">
      <c r="A68" s="463">
        <f t="shared" si="42"/>
        <v>4</v>
      </c>
      <c r="B68" s="463">
        <f t="shared" si="41"/>
        <v>2022</v>
      </c>
      <c r="C68" s="479">
        <v>3519</v>
      </c>
      <c r="D68" s="480">
        <v>621</v>
      </c>
      <c r="E68" s="465">
        <v>0</v>
      </c>
      <c r="F68" s="466">
        <f t="shared" si="34"/>
        <v>0</v>
      </c>
      <c r="G68" s="466">
        <f t="shared" si="35"/>
        <v>0</v>
      </c>
      <c r="H68" s="467">
        <f t="shared" si="29"/>
        <v>0</v>
      </c>
      <c r="I68" s="467">
        <f t="shared" si="29"/>
        <v>0</v>
      </c>
      <c r="J68" s="467">
        <f t="shared" si="29"/>
        <v>0</v>
      </c>
      <c r="K68" s="467">
        <f t="shared" si="29"/>
        <v>0</v>
      </c>
      <c r="L68" s="468">
        <f t="shared" si="36"/>
        <v>0</v>
      </c>
      <c r="M68" s="468">
        <f t="shared" si="30"/>
        <v>0</v>
      </c>
      <c r="N68" s="468">
        <f t="shared" si="30"/>
        <v>0</v>
      </c>
      <c r="O68" s="468">
        <f t="shared" si="30"/>
        <v>0</v>
      </c>
      <c r="P68" s="468">
        <f t="shared" si="37"/>
        <v>0</v>
      </c>
      <c r="Q68" s="468">
        <f t="shared" si="38"/>
        <v>0</v>
      </c>
      <c r="R68" s="469">
        <f t="shared" si="39"/>
        <v>0</v>
      </c>
      <c r="W68" s="470">
        <f t="shared" si="40"/>
        <v>0</v>
      </c>
      <c r="X68" s="470">
        <f t="shared" si="31"/>
        <v>0</v>
      </c>
      <c r="Y68" s="470">
        <f t="shared" si="32"/>
        <v>0</v>
      </c>
      <c r="Z68" s="470">
        <f t="shared" si="33"/>
        <v>0</v>
      </c>
    </row>
    <row r="69" spans="1:26" ht="15" customHeight="1" x14ac:dyDescent="0.3">
      <c r="A69" s="463">
        <f t="shared" si="42"/>
        <v>5</v>
      </c>
      <c r="B69" s="463">
        <f t="shared" si="41"/>
        <v>2023</v>
      </c>
      <c r="C69" s="479">
        <v>3536</v>
      </c>
      <c r="D69" s="480">
        <v>624</v>
      </c>
      <c r="E69" s="465">
        <v>0</v>
      </c>
      <c r="F69" s="466">
        <f t="shared" si="34"/>
        <v>0</v>
      </c>
      <c r="G69" s="466">
        <f t="shared" si="35"/>
        <v>0</v>
      </c>
      <c r="H69" s="467">
        <f t="shared" si="29"/>
        <v>0</v>
      </c>
      <c r="I69" s="467">
        <f t="shared" si="29"/>
        <v>0</v>
      </c>
      <c r="J69" s="467">
        <f t="shared" si="29"/>
        <v>0</v>
      </c>
      <c r="K69" s="467">
        <f t="shared" si="29"/>
        <v>0</v>
      </c>
      <c r="L69" s="468">
        <f t="shared" si="36"/>
        <v>0</v>
      </c>
      <c r="M69" s="468">
        <f t="shared" si="30"/>
        <v>0</v>
      </c>
      <c r="N69" s="468">
        <f t="shared" si="30"/>
        <v>0</v>
      </c>
      <c r="O69" s="468">
        <f t="shared" si="30"/>
        <v>0</v>
      </c>
      <c r="P69" s="468">
        <f t="shared" si="37"/>
        <v>0</v>
      </c>
      <c r="Q69" s="468">
        <f t="shared" si="38"/>
        <v>0</v>
      </c>
      <c r="R69" s="469">
        <f t="shared" si="39"/>
        <v>0</v>
      </c>
      <c r="W69" s="470">
        <f t="shared" si="40"/>
        <v>0</v>
      </c>
      <c r="X69" s="470">
        <f t="shared" si="31"/>
        <v>0</v>
      </c>
      <c r="Y69" s="470">
        <f t="shared" si="32"/>
        <v>0</v>
      </c>
      <c r="Z69" s="470">
        <f t="shared" si="33"/>
        <v>0</v>
      </c>
    </row>
    <row r="70" spans="1:26" ht="15" customHeight="1" x14ac:dyDescent="0.3">
      <c r="A70" s="463">
        <f t="shared" si="42"/>
        <v>6</v>
      </c>
      <c r="B70" s="463">
        <f t="shared" si="41"/>
        <v>2024</v>
      </c>
      <c r="C70" s="479">
        <v>3553</v>
      </c>
      <c r="D70" s="480">
        <v>627</v>
      </c>
      <c r="E70" s="465">
        <v>0</v>
      </c>
      <c r="F70" s="466">
        <f t="shared" si="34"/>
        <v>0</v>
      </c>
      <c r="G70" s="466">
        <f t="shared" si="35"/>
        <v>0</v>
      </c>
      <c r="H70" s="467">
        <f t="shared" si="29"/>
        <v>0</v>
      </c>
      <c r="I70" s="467">
        <f t="shared" si="29"/>
        <v>0</v>
      </c>
      <c r="J70" s="467">
        <f t="shared" si="29"/>
        <v>0</v>
      </c>
      <c r="K70" s="467">
        <f t="shared" si="29"/>
        <v>0</v>
      </c>
      <c r="L70" s="468">
        <f t="shared" si="36"/>
        <v>0</v>
      </c>
      <c r="M70" s="468">
        <f t="shared" si="30"/>
        <v>0</v>
      </c>
      <c r="N70" s="468">
        <f t="shared" si="30"/>
        <v>0</v>
      </c>
      <c r="O70" s="468">
        <f t="shared" si="30"/>
        <v>0</v>
      </c>
      <c r="P70" s="468">
        <f t="shared" si="37"/>
        <v>0</v>
      </c>
      <c r="Q70" s="468">
        <f t="shared" si="38"/>
        <v>0</v>
      </c>
      <c r="R70" s="469">
        <f t="shared" si="39"/>
        <v>0</v>
      </c>
      <c r="W70" s="470">
        <f t="shared" si="40"/>
        <v>0</v>
      </c>
      <c r="X70" s="470">
        <f t="shared" si="31"/>
        <v>0</v>
      </c>
      <c r="Y70" s="470">
        <f t="shared" si="32"/>
        <v>0</v>
      </c>
      <c r="Z70" s="470">
        <f t="shared" si="33"/>
        <v>0</v>
      </c>
    </row>
    <row r="71" spans="1:26" ht="15" customHeight="1" x14ac:dyDescent="0.3">
      <c r="A71" s="463">
        <f t="shared" si="42"/>
        <v>7</v>
      </c>
      <c r="B71" s="463">
        <f t="shared" si="41"/>
        <v>2025</v>
      </c>
      <c r="C71" s="479">
        <v>3570</v>
      </c>
      <c r="D71" s="480">
        <v>630</v>
      </c>
      <c r="E71" s="471">
        <v>1.6</v>
      </c>
      <c r="F71" s="466">
        <f t="shared" si="34"/>
        <v>2084880</v>
      </c>
      <c r="G71" s="466">
        <f t="shared" si="35"/>
        <v>367920</v>
      </c>
      <c r="H71" s="467">
        <f t="shared" si="29"/>
        <v>0.16172787180295581</v>
      </c>
      <c r="I71" s="467">
        <f t="shared" si="29"/>
        <v>1.9036159705611564</v>
      </c>
      <c r="J71" s="467">
        <f t="shared" si="29"/>
        <v>7.586790353375468E-2</v>
      </c>
      <c r="K71" s="467">
        <f t="shared" si="29"/>
        <v>9.7529158012224157E-3</v>
      </c>
      <c r="L71" s="468">
        <f t="shared" si="36"/>
        <v>339.62853078620719</v>
      </c>
      <c r="M71" s="468">
        <f t="shared" si="30"/>
        <v>16371.097346825945</v>
      </c>
      <c r="N71" s="468">
        <f t="shared" si="30"/>
        <v>29156.035328021924</v>
      </c>
      <c r="O71" s="468">
        <f t="shared" si="30"/>
        <v>488.62108164124305</v>
      </c>
      <c r="P71" s="468">
        <f t="shared" si="37"/>
        <v>830.86637759999985</v>
      </c>
      <c r="Q71" s="468">
        <f t="shared" si="38"/>
        <v>47186.248664875318</v>
      </c>
      <c r="R71" s="469">
        <f>Q71/(1+0.07)^(A71)</f>
        <v>29385.224176553238</v>
      </c>
      <c r="W71" s="470">
        <f t="shared" si="40"/>
        <v>211.50357988375345</v>
      </c>
      <c r="X71" s="470">
        <f t="shared" si="31"/>
        <v>10195.096647103372</v>
      </c>
      <c r="Y71" s="470">
        <f t="shared" si="32"/>
        <v>18156.913474903675</v>
      </c>
      <c r="Z71" s="470">
        <f t="shared" si="33"/>
        <v>304.28865247145382</v>
      </c>
    </row>
    <row r="72" spans="1:26" ht="15" customHeight="1" x14ac:dyDescent="0.3">
      <c r="A72" s="463">
        <f t="shared" si="42"/>
        <v>8</v>
      </c>
      <c r="B72" s="463">
        <f t="shared" si="41"/>
        <v>2026</v>
      </c>
      <c r="C72" s="479">
        <v>3587</v>
      </c>
      <c r="D72" s="480">
        <v>633</v>
      </c>
      <c r="E72" s="471">
        <v>1.6</v>
      </c>
      <c r="F72" s="466">
        <f t="shared" si="34"/>
        <v>2094808.0000000002</v>
      </c>
      <c r="G72" s="466">
        <f t="shared" si="35"/>
        <v>369672</v>
      </c>
      <c r="H72" s="467">
        <f t="shared" si="29"/>
        <v>0.16249800452582705</v>
      </c>
      <c r="I72" s="467">
        <f t="shared" si="29"/>
        <v>1.9126808085162097</v>
      </c>
      <c r="J72" s="467">
        <f t="shared" si="29"/>
        <v>7.6229179264867816E-2</v>
      </c>
      <c r="K72" s="467">
        <f t="shared" si="29"/>
        <v>9.7993582574187107E-3</v>
      </c>
      <c r="L72" s="468">
        <f t="shared" si="36"/>
        <v>341.24580950423683</v>
      </c>
      <c r="M72" s="468">
        <f t="shared" si="30"/>
        <v>16449.054953239403</v>
      </c>
      <c r="N72" s="468">
        <f t="shared" si="30"/>
        <v>29294.8735914887</v>
      </c>
      <c r="O72" s="468">
        <f t="shared" si="30"/>
        <v>490.9478486966774</v>
      </c>
      <c r="P72" s="468">
        <f t="shared" si="37"/>
        <v>834.82288416000006</v>
      </c>
      <c r="Q72" s="468">
        <f t="shared" si="38"/>
        <v>47410.945087089014</v>
      </c>
      <c r="R72" s="469">
        <f t="shared" si="39"/>
        <v>27593.601696718884</v>
      </c>
      <c r="W72" s="470">
        <f t="shared" si="40"/>
        <v>198.60816802613257</v>
      </c>
      <c r="X72" s="470">
        <f t="shared" si="31"/>
        <v>9573.4997442759759</v>
      </c>
      <c r="Y72" s="470">
        <f t="shared" si="32"/>
        <v>17049.883147328332</v>
      </c>
      <c r="Z72" s="470">
        <f t="shared" si="33"/>
        <v>285.73611780808517</v>
      </c>
    </row>
    <row r="73" spans="1:26" ht="15" customHeight="1" x14ac:dyDescent="0.3">
      <c r="A73" s="463">
        <f t="shared" si="42"/>
        <v>9</v>
      </c>
      <c r="B73" s="463">
        <f t="shared" si="41"/>
        <v>2027</v>
      </c>
      <c r="C73" s="479">
        <v>3604</v>
      </c>
      <c r="D73" s="480">
        <v>636</v>
      </c>
      <c r="E73" s="471">
        <v>1.6</v>
      </c>
      <c r="F73" s="466">
        <f t="shared" si="34"/>
        <v>2104736</v>
      </c>
      <c r="G73" s="466">
        <f t="shared" si="35"/>
        <v>371424</v>
      </c>
      <c r="H73" s="467">
        <f t="shared" si="29"/>
        <v>0.16326813724869824</v>
      </c>
      <c r="I73" s="467">
        <f t="shared" si="29"/>
        <v>1.9217456464712623</v>
      </c>
      <c r="J73" s="467">
        <f t="shared" si="29"/>
        <v>7.6590454995980925E-2</v>
      </c>
      <c r="K73" s="467">
        <f t="shared" si="29"/>
        <v>9.8458007136150091E-3</v>
      </c>
      <c r="L73" s="468">
        <f t="shared" si="36"/>
        <v>342.8630882222663</v>
      </c>
      <c r="M73" s="468">
        <f t="shared" si="30"/>
        <v>16527.012559652856</v>
      </c>
      <c r="N73" s="468">
        <f t="shared" si="30"/>
        <v>29433.711854955469</v>
      </c>
      <c r="O73" s="468">
        <f t="shared" si="30"/>
        <v>493.27461575211197</v>
      </c>
      <c r="P73" s="468">
        <f t="shared" si="37"/>
        <v>838.77939071999992</v>
      </c>
      <c r="Q73" s="468">
        <f t="shared" si="38"/>
        <v>47635.641509302703</v>
      </c>
      <c r="R73" s="469">
        <f t="shared" si="39"/>
        <v>25910.632766551811</v>
      </c>
      <c r="W73" s="470">
        <f t="shared" si="40"/>
        <v>186.49480277069623</v>
      </c>
      <c r="X73" s="470">
        <f t="shared" si="31"/>
        <v>8989.5997953071983</v>
      </c>
      <c r="Y73" s="470">
        <f t="shared" si="32"/>
        <v>16009.989047409334</v>
      </c>
      <c r="Z73" s="470">
        <f t="shared" si="33"/>
        <v>268.30870786780378</v>
      </c>
    </row>
    <row r="74" spans="1:26" ht="15" customHeight="1" x14ac:dyDescent="0.3">
      <c r="A74" s="463">
        <f t="shared" si="42"/>
        <v>10</v>
      </c>
      <c r="B74" s="463">
        <f t="shared" si="41"/>
        <v>2028</v>
      </c>
      <c r="C74" s="479">
        <v>3621</v>
      </c>
      <c r="D74" s="480">
        <v>639</v>
      </c>
      <c r="E74" s="471">
        <v>1.6</v>
      </c>
      <c r="F74" s="466">
        <f t="shared" si="34"/>
        <v>2114664</v>
      </c>
      <c r="G74" s="466">
        <f t="shared" si="35"/>
        <v>373176.00000000006</v>
      </c>
      <c r="H74" s="467">
        <f t="shared" si="29"/>
        <v>0.16403826997156948</v>
      </c>
      <c r="I74" s="467">
        <f t="shared" si="29"/>
        <v>1.9308104844263159</v>
      </c>
      <c r="J74" s="467">
        <f t="shared" si="29"/>
        <v>7.6951730727094034E-2</v>
      </c>
      <c r="K74" s="467">
        <f t="shared" si="29"/>
        <v>9.8922431698113076E-3</v>
      </c>
      <c r="L74" s="468">
        <f t="shared" si="36"/>
        <v>344.48036694029588</v>
      </c>
      <c r="M74" s="468">
        <f t="shared" si="30"/>
        <v>16604.970166066316</v>
      </c>
      <c r="N74" s="468">
        <f t="shared" si="30"/>
        <v>29572.550118422238</v>
      </c>
      <c r="O74" s="468">
        <f t="shared" si="30"/>
        <v>495.60138280754649</v>
      </c>
      <c r="P74" s="468">
        <f t="shared" si="37"/>
        <v>842.73589728000002</v>
      </c>
      <c r="Q74" s="468">
        <f t="shared" si="38"/>
        <v>47860.337931516398</v>
      </c>
      <c r="R74" s="469">
        <f t="shared" si="39"/>
        <v>24329.768908814745</v>
      </c>
      <c r="W74" s="470">
        <f t="shared" si="40"/>
        <v>175.11635068840727</v>
      </c>
      <c r="X74" s="470">
        <f t="shared" si="31"/>
        <v>8441.1248298379196</v>
      </c>
      <c r="Y74" s="470">
        <f t="shared" si="32"/>
        <v>15033.18491931841</v>
      </c>
      <c r="Z74" s="470">
        <f t="shared" si="33"/>
        <v>251.93861213120354</v>
      </c>
    </row>
    <row r="75" spans="1:26" ht="15" customHeight="1" x14ac:dyDescent="0.3">
      <c r="A75" s="463">
        <f t="shared" si="42"/>
        <v>11</v>
      </c>
      <c r="B75" s="463">
        <f t="shared" si="41"/>
        <v>2029</v>
      </c>
      <c r="C75" s="479">
        <v>3638</v>
      </c>
      <c r="D75" s="480">
        <v>642</v>
      </c>
      <c r="E75" s="471">
        <v>1.6</v>
      </c>
      <c r="F75" s="466">
        <f t="shared" si="34"/>
        <v>2124592</v>
      </c>
      <c r="G75" s="466">
        <f t="shared" si="35"/>
        <v>374928</v>
      </c>
      <c r="H75" s="467">
        <f t="shared" si="29"/>
        <v>0.16480840269444069</v>
      </c>
      <c r="I75" s="467">
        <f t="shared" si="29"/>
        <v>1.9398753223813692</v>
      </c>
      <c r="J75" s="467">
        <f t="shared" si="29"/>
        <v>7.731300645820717E-2</v>
      </c>
      <c r="K75" s="467">
        <f t="shared" si="29"/>
        <v>9.9386856260076043E-3</v>
      </c>
      <c r="L75" s="468">
        <f t="shared" si="36"/>
        <v>346.09764565832546</v>
      </c>
      <c r="M75" s="468">
        <f t="shared" si="30"/>
        <v>16682.927772479776</v>
      </c>
      <c r="N75" s="468">
        <f t="shared" si="30"/>
        <v>29711.388381889017</v>
      </c>
      <c r="O75" s="468">
        <f t="shared" si="30"/>
        <v>497.928149862981</v>
      </c>
      <c r="P75" s="468">
        <f t="shared" si="37"/>
        <v>846.69240383999988</v>
      </c>
      <c r="Q75" s="468">
        <f t="shared" si="38"/>
        <v>48085.034353730101</v>
      </c>
      <c r="R75" s="469">
        <f t="shared" si="39"/>
        <v>22844.853435506804</v>
      </c>
      <c r="W75" s="470">
        <f t="shared" si="40"/>
        <v>164.42849829897395</v>
      </c>
      <c r="X75" s="470">
        <f t="shared" si="31"/>
        <v>7925.9388073595492</v>
      </c>
      <c r="Y75" s="470">
        <f t="shared" si="32"/>
        <v>14115.666590909306</v>
      </c>
      <c r="Z75" s="470">
        <f t="shared" si="33"/>
        <v>236.56207711850098</v>
      </c>
    </row>
    <row r="76" spans="1:26" ht="15" customHeight="1" x14ac:dyDescent="0.3">
      <c r="A76" s="463">
        <f t="shared" si="42"/>
        <v>12</v>
      </c>
      <c r="B76" s="463">
        <f t="shared" si="41"/>
        <v>2030</v>
      </c>
      <c r="C76" s="479">
        <v>3655</v>
      </c>
      <c r="D76" s="480">
        <v>645</v>
      </c>
      <c r="E76" s="471">
        <v>1.6</v>
      </c>
      <c r="F76" s="466">
        <f t="shared" si="34"/>
        <v>2134520</v>
      </c>
      <c r="G76" s="466">
        <f t="shared" si="35"/>
        <v>376680</v>
      </c>
      <c r="H76" s="467">
        <f t="shared" si="29"/>
        <v>0.16557853541731191</v>
      </c>
      <c r="I76" s="467">
        <f t="shared" si="29"/>
        <v>1.948940160336422</v>
      </c>
      <c r="J76" s="467">
        <f t="shared" si="29"/>
        <v>7.7674282189320265E-2</v>
      </c>
      <c r="K76" s="467">
        <f t="shared" si="29"/>
        <v>9.985128082203901E-3</v>
      </c>
      <c r="L76" s="468">
        <f t="shared" si="36"/>
        <v>347.71492437635499</v>
      </c>
      <c r="M76" s="468">
        <f t="shared" si="30"/>
        <v>16760.885378893228</v>
      </c>
      <c r="N76" s="468">
        <f t="shared" si="30"/>
        <v>29850.226645355779</v>
      </c>
      <c r="O76" s="468">
        <f t="shared" si="30"/>
        <v>500.25491691841546</v>
      </c>
      <c r="P76" s="468">
        <f t="shared" si="37"/>
        <v>850.64891039999998</v>
      </c>
      <c r="Q76" s="468">
        <f t="shared" si="38"/>
        <v>48309.730775943775</v>
      </c>
      <c r="R76" s="469">
        <f t="shared" si="39"/>
        <v>21450.098212219244</v>
      </c>
      <c r="W76" s="470">
        <f t="shared" si="40"/>
        <v>154.3895848295895</v>
      </c>
      <c r="X76" s="470">
        <f t="shared" si="31"/>
        <v>7442.0335556917762</v>
      </c>
      <c r="Y76" s="470">
        <f t="shared" si="32"/>
        <v>13253.857616584421</v>
      </c>
      <c r="Z76" s="470">
        <f t="shared" si="33"/>
        <v>222.1191657807569</v>
      </c>
    </row>
    <row r="77" spans="1:26" ht="15" customHeight="1" x14ac:dyDescent="0.3">
      <c r="A77" s="463">
        <f t="shared" si="42"/>
        <v>13</v>
      </c>
      <c r="B77" s="463">
        <f t="shared" si="41"/>
        <v>2031</v>
      </c>
      <c r="C77" s="479">
        <v>3672</v>
      </c>
      <c r="D77" s="480">
        <v>648</v>
      </c>
      <c r="E77" s="471">
        <v>1.6</v>
      </c>
      <c r="F77" s="466">
        <f t="shared" si="34"/>
        <v>2144448.0000000005</v>
      </c>
      <c r="G77" s="466">
        <f t="shared" si="35"/>
        <v>378432</v>
      </c>
      <c r="H77" s="467">
        <f t="shared" si="29"/>
        <v>0.16634866814018312</v>
      </c>
      <c r="I77" s="467">
        <f t="shared" si="29"/>
        <v>1.9580049982914753</v>
      </c>
      <c r="J77" s="467">
        <f t="shared" si="29"/>
        <v>7.8035557920433388E-2</v>
      </c>
      <c r="K77" s="467">
        <f t="shared" si="29"/>
        <v>1.0031570538400198E-2</v>
      </c>
      <c r="L77" s="468">
        <f t="shared" si="36"/>
        <v>349.33220309438457</v>
      </c>
      <c r="M77" s="468">
        <f t="shared" si="30"/>
        <v>16838.842985306688</v>
      </c>
      <c r="N77" s="468">
        <f t="shared" si="30"/>
        <v>29989.064908822551</v>
      </c>
      <c r="O77" s="468">
        <f t="shared" si="30"/>
        <v>502.58168397384992</v>
      </c>
      <c r="P77" s="468">
        <f t="shared" si="37"/>
        <v>854.60541696000018</v>
      </c>
      <c r="Q77" s="468">
        <f t="shared" si="38"/>
        <v>48534.427198157471</v>
      </c>
      <c r="R77" s="469">
        <f t="shared" si="39"/>
        <v>20140.061785869839</v>
      </c>
      <c r="W77" s="470">
        <f t="shared" si="40"/>
        <v>144.96044478674779</v>
      </c>
      <c r="X77" s="470">
        <f t="shared" si="31"/>
        <v>6987.5211824795642</v>
      </c>
      <c r="Y77" s="470">
        <f t="shared" si="32"/>
        <v>12444.395762583068</v>
      </c>
      <c r="Z77" s="470">
        <f t="shared" si="33"/>
        <v>208.55353100910011</v>
      </c>
    </row>
    <row r="78" spans="1:26" ht="15" customHeight="1" x14ac:dyDescent="0.3">
      <c r="A78" s="463">
        <f t="shared" si="42"/>
        <v>14</v>
      </c>
      <c r="B78" s="463">
        <f t="shared" si="41"/>
        <v>2032</v>
      </c>
      <c r="C78" s="479">
        <v>3689</v>
      </c>
      <c r="D78" s="480">
        <v>651</v>
      </c>
      <c r="E78" s="471">
        <v>1.6</v>
      </c>
      <c r="F78" s="466">
        <f t="shared" si="34"/>
        <v>2154376</v>
      </c>
      <c r="G78" s="466">
        <f t="shared" si="35"/>
        <v>380184.00000000006</v>
      </c>
      <c r="H78" s="467">
        <f t="shared" si="29"/>
        <v>0.16711880086305436</v>
      </c>
      <c r="I78" s="467">
        <f t="shared" si="29"/>
        <v>1.9670698362465284</v>
      </c>
      <c r="J78" s="467">
        <f t="shared" si="29"/>
        <v>7.839683365154651E-2</v>
      </c>
      <c r="K78" s="467">
        <f t="shared" si="29"/>
        <v>1.0078012994596496E-2</v>
      </c>
      <c r="L78" s="468">
        <f t="shared" si="36"/>
        <v>350.94948181241415</v>
      </c>
      <c r="M78" s="468">
        <f t="shared" si="30"/>
        <v>16916.800591720144</v>
      </c>
      <c r="N78" s="468">
        <f t="shared" si="30"/>
        <v>30127.903172289323</v>
      </c>
      <c r="O78" s="468">
        <f t="shared" si="30"/>
        <v>504.90845102928444</v>
      </c>
      <c r="P78" s="468">
        <f t="shared" si="37"/>
        <v>858.56192351999994</v>
      </c>
      <c r="Q78" s="468">
        <f t="shared" si="38"/>
        <v>48759.123620371167</v>
      </c>
      <c r="R78" s="469">
        <f t="shared" si="39"/>
        <v>18909.628796875026</v>
      </c>
      <c r="W78" s="470">
        <f t="shared" si="40"/>
        <v>136.10425977295029</v>
      </c>
      <c r="X78" s="470">
        <f t="shared" si="31"/>
        <v>6560.6269323211554</v>
      </c>
      <c r="Y78" s="470">
        <f t="shared" si="32"/>
        <v>11684.120285914356</v>
      </c>
      <c r="Z78" s="470">
        <f t="shared" si="33"/>
        <v>195.81220244450819</v>
      </c>
    </row>
    <row r="79" spans="1:26" ht="15" customHeight="1" x14ac:dyDescent="0.3">
      <c r="A79" s="463">
        <f t="shared" si="42"/>
        <v>15</v>
      </c>
      <c r="B79" s="463">
        <f t="shared" si="41"/>
        <v>2033</v>
      </c>
      <c r="C79" s="479">
        <v>3706</v>
      </c>
      <c r="D79" s="480">
        <v>654</v>
      </c>
      <c r="E79" s="471">
        <v>1.6</v>
      </c>
      <c r="F79" s="466">
        <f t="shared" si="34"/>
        <v>2164304</v>
      </c>
      <c r="G79" s="466">
        <f t="shared" si="35"/>
        <v>381936.00000000006</v>
      </c>
      <c r="H79" s="467">
        <f t="shared" si="29"/>
        <v>0.16788893358592558</v>
      </c>
      <c r="I79" s="467">
        <f t="shared" si="29"/>
        <v>1.9761346742015817</v>
      </c>
      <c r="J79" s="467">
        <f t="shared" si="29"/>
        <v>7.8758109382659633E-2</v>
      </c>
      <c r="K79" s="467">
        <f t="shared" si="29"/>
        <v>1.0124455450792791E-2</v>
      </c>
      <c r="L79" s="468">
        <f t="shared" si="36"/>
        <v>352.56676053044373</v>
      </c>
      <c r="M79" s="468">
        <f t="shared" si="30"/>
        <v>16994.758198133604</v>
      </c>
      <c r="N79" s="468">
        <f t="shared" si="30"/>
        <v>30266.741435756096</v>
      </c>
      <c r="O79" s="468">
        <f t="shared" si="30"/>
        <v>507.23521808471884</v>
      </c>
      <c r="P79" s="468">
        <f t="shared" si="37"/>
        <v>862.51843007999992</v>
      </c>
      <c r="Q79" s="468">
        <f t="shared" si="38"/>
        <v>48983.820042584863</v>
      </c>
      <c r="R79" s="469">
        <f t="shared" si="39"/>
        <v>17753.990601312526</v>
      </c>
      <c r="W79" s="470">
        <f t="shared" si="40"/>
        <v>127.78641901246033</v>
      </c>
      <c r="X79" s="470">
        <f t="shared" si="31"/>
        <v>6159.6824636978854</v>
      </c>
      <c r="Y79" s="470">
        <f t="shared" si="32"/>
        <v>10970.059960934275</v>
      </c>
      <c r="Z79" s="470">
        <f t="shared" si="33"/>
        <v>183.84538581723061</v>
      </c>
    </row>
    <row r="80" spans="1:26" ht="15" customHeight="1" x14ac:dyDescent="0.3">
      <c r="A80" s="463">
        <f t="shared" si="42"/>
        <v>16</v>
      </c>
      <c r="B80" s="463">
        <f t="shared" si="41"/>
        <v>2034</v>
      </c>
      <c r="C80" s="479">
        <v>3723</v>
      </c>
      <c r="D80" s="480">
        <v>657</v>
      </c>
      <c r="E80" s="471">
        <v>1.6</v>
      </c>
      <c r="F80" s="466">
        <f t="shared" si="34"/>
        <v>2174232</v>
      </c>
      <c r="G80" s="466">
        <f t="shared" si="35"/>
        <v>383688</v>
      </c>
      <c r="H80" s="467">
        <f t="shared" ref="H80:K95" si="43">($F80*H$8+$G80*H$11)/1000000*1.1015</f>
        <v>0.16865906630879679</v>
      </c>
      <c r="I80" s="467">
        <f t="shared" si="43"/>
        <v>1.9851995121566346</v>
      </c>
      <c r="J80" s="467">
        <f t="shared" si="43"/>
        <v>7.9119385113772742E-2</v>
      </c>
      <c r="K80" s="467">
        <f t="shared" si="43"/>
        <v>1.017089790698909E-2</v>
      </c>
      <c r="L80" s="468">
        <f t="shared" si="36"/>
        <v>354.18403924847325</v>
      </c>
      <c r="M80" s="468">
        <f t="shared" si="36"/>
        <v>17072.715804547057</v>
      </c>
      <c r="N80" s="468">
        <f t="shared" si="36"/>
        <v>30405.579699222864</v>
      </c>
      <c r="O80" s="468">
        <f t="shared" si="36"/>
        <v>509.56198514015341</v>
      </c>
      <c r="P80" s="468">
        <f t="shared" si="37"/>
        <v>866.47493664000001</v>
      </c>
      <c r="Q80" s="468">
        <f t="shared" si="38"/>
        <v>49208.516464798544</v>
      </c>
      <c r="R80" s="469">
        <f t="shared" si="39"/>
        <v>16668.627032870798</v>
      </c>
      <c r="W80" s="470">
        <f t="shared" si="40"/>
        <v>119.97438808080602</v>
      </c>
      <c r="X80" s="470">
        <f t="shared" si="31"/>
        <v>5783.1195213488672</v>
      </c>
      <c r="Y80" s="470">
        <f t="shared" si="32"/>
        <v>10299.421810188658</v>
      </c>
      <c r="Z80" s="470">
        <f t="shared" si="33"/>
        <v>172.60627408888584</v>
      </c>
    </row>
    <row r="81" spans="1:26" ht="15" customHeight="1" x14ac:dyDescent="0.3">
      <c r="A81" s="463">
        <f t="shared" si="42"/>
        <v>17</v>
      </c>
      <c r="B81" s="463">
        <f t="shared" si="41"/>
        <v>2035</v>
      </c>
      <c r="C81" s="479">
        <v>3748.5</v>
      </c>
      <c r="D81" s="480">
        <v>661.5</v>
      </c>
      <c r="E81" s="471">
        <v>1.6</v>
      </c>
      <c r="F81" s="466">
        <f t="shared" si="34"/>
        <v>2189124</v>
      </c>
      <c r="G81" s="466">
        <f t="shared" si="35"/>
        <v>386316.00000000006</v>
      </c>
      <c r="H81" s="467">
        <f t="shared" si="43"/>
        <v>0.16981426539310363</v>
      </c>
      <c r="I81" s="467">
        <f t="shared" si="43"/>
        <v>1.9987967690892143</v>
      </c>
      <c r="J81" s="467">
        <f t="shared" si="43"/>
        <v>7.9661298710442419E-2</v>
      </c>
      <c r="K81" s="467">
        <f t="shared" si="43"/>
        <v>1.0240561591283533E-2</v>
      </c>
      <c r="L81" s="468">
        <f t="shared" ref="L81:O95" si="44">H81*L$7</f>
        <v>356.6099573255176</v>
      </c>
      <c r="M81" s="468">
        <f t="shared" si="44"/>
        <v>17189.652214167243</v>
      </c>
      <c r="N81" s="468">
        <f t="shared" si="44"/>
        <v>30613.837094423023</v>
      </c>
      <c r="O81" s="468">
        <f t="shared" si="44"/>
        <v>513.05213572330501</v>
      </c>
      <c r="P81" s="468">
        <f t="shared" si="37"/>
        <v>872.40969647999998</v>
      </c>
      <c r="Q81" s="468">
        <f t="shared" si="38"/>
        <v>49545.561098119084</v>
      </c>
      <c r="R81" s="469">
        <f t="shared" si="39"/>
        <v>15684.855804839377</v>
      </c>
      <c r="W81" s="470">
        <f t="shared" si="40"/>
        <v>112.89357987375807</v>
      </c>
      <c r="X81" s="470">
        <f t="shared" si="31"/>
        <v>5441.8036719900365</v>
      </c>
      <c r="Y81" s="470">
        <f t="shared" si="32"/>
        <v>9691.5568179345337</v>
      </c>
      <c r="Z81" s="470">
        <f t="shared" si="33"/>
        <v>162.4191671429152</v>
      </c>
    </row>
    <row r="82" spans="1:26" ht="15" customHeight="1" x14ac:dyDescent="0.3">
      <c r="A82" s="463">
        <f t="shared" si="42"/>
        <v>18</v>
      </c>
      <c r="B82" s="463">
        <f t="shared" si="41"/>
        <v>2036</v>
      </c>
      <c r="C82" s="479">
        <v>3765.5</v>
      </c>
      <c r="D82" s="480">
        <v>664.5</v>
      </c>
      <c r="E82" s="471">
        <v>1.6</v>
      </c>
      <c r="F82" s="466">
        <f t="shared" si="34"/>
        <v>2199052</v>
      </c>
      <c r="G82" s="466">
        <f t="shared" si="35"/>
        <v>388068</v>
      </c>
      <c r="H82" s="467">
        <f t="shared" si="43"/>
        <v>0.17058439811597484</v>
      </c>
      <c r="I82" s="467">
        <f t="shared" si="43"/>
        <v>2.007861607044267</v>
      </c>
      <c r="J82" s="467">
        <f t="shared" si="43"/>
        <v>8.0022574441555541E-2</v>
      </c>
      <c r="K82" s="467">
        <f t="shared" si="43"/>
        <v>1.0287004047479833E-2</v>
      </c>
      <c r="L82" s="468">
        <f t="shared" si="44"/>
        <v>358.22723604354718</v>
      </c>
      <c r="M82" s="468">
        <f t="shared" si="44"/>
        <v>17267.609820580696</v>
      </c>
      <c r="N82" s="468">
        <f t="shared" si="44"/>
        <v>30752.675357889795</v>
      </c>
      <c r="O82" s="468">
        <f t="shared" si="44"/>
        <v>515.37890277873964</v>
      </c>
      <c r="P82" s="468">
        <f t="shared" si="37"/>
        <v>876.36620303999996</v>
      </c>
      <c r="Q82" s="468">
        <f t="shared" si="38"/>
        <v>49770.25752033278</v>
      </c>
      <c r="R82" s="469">
        <f t="shared" si="39"/>
        <v>14725.223306300135</v>
      </c>
      <c r="W82" s="470">
        <f t="shared" si="40"/>
        <v>105.98651298890547</v>
      </c>
      <c r="X82" s="470">
        <f t="shared" si="31"/>
        <v>5108.8626670302956</v>
      </c>
      <c r="Y82" s="470">
        <f t="shared" si="32"/>
        <v>9098.606968751983</v>
      </c>
      <c r="Z82" s="470">
        <f t="shared" si="33"/>
        <v>152.48202056564617</v>
      </c>
    </row>
    <row r="83" spans="1:26" ht="15" customHeight="1" x14ac:dyDescent="0.3">
      <c r="A83" s="463">
        <f t="shared" si="42"/>
        <v>19</v>
      </c>
      <c r="B83" s="463">
        <f t="shared" si="41"/>
        <v>2037</v>
      </c>
      <c r="C83" s="479">
        <v>3782.5</v>
      </c>
      <c r="D83" s="480">
        <v>667.5</v>
      </c>
      <c r="E83" s="471">
        <v>1.6</v>
      </c>
      <c r="F83" s="466">
        <f t="shared" si="34"/>
        <v>2208980</v>
      </c>
      <c r="G83" s="466">
        <f t="shared" si="35"/>
        <v>389820</v>
      </c>
      <c r="H83" s="467">
        <f t="shared" si="43"/>
        <v>0.17135453083884605</v>
      </c>
      <c r="I83" s="467">
        <f t="shared" si="43"/>
        <v>2.0169264449993203</v>
      </c>
      <c r="J83" s="467">
        <f t="shared" si="43"/>
        <v>8.0383850172668664E-2</v>
      </c>
      <c r="K83" s="467">
        <f t="shared" si="43"/>
        <v>1.0333446503676128E-2</v>
      </c>
      <c r="L83" s="468">
        <f t="shared" si="44"/>
        <v>359.8445147615767</v>
      </c>
      <c r="M83" s="468">
        <f t="shared" si="44"/>
        <v>17345.567426994156</v>
      </c>
      <c r="N83" s="468">
        <f t="shared" si="44"/>
        <v>30891.513621356567</v>
      </c>
      <c r="O83" s="468">
        <f t="shared" si="44"/>
        <v>517.70566983417405</v>
      </c>
      <c r="P83" s="468">
        <f t="shared" si="37"/>
        <v>880.32270959999994</v>
      </c>
      <c r="Q83" s="468">
        <f t="shared" si="38"/>
        <v>49994.953942546475</v>
      </c>
      <c r="R83" s="469">
        <f t="shared" si="39"/>
        <v>13824.021373607224</v>
      </c>
      <c r="W83" s="470">
        <f t="shared" si="40"/>
        <v>99.500006919817992</v>
      </c>
      <c r="X83" s="470">
        <f t="shared" si="31"/>
        <v>4796.1939343652703</v>
      </c>
      <c r="Y83" s="470">
        <f t="shared" si="32"/>
        <v>8541.7609356229459</v>
      </c>
      <c r="Z83" s="470">
        <f t="shared" si="33"/>
        <v>143.14993175610752</v>
      </c>
    </row>
    <row r="84" spans="1:26" ht="15" customHeight="1" x14ac:dyDescent="0.3">
      <c r="A84" s="463">
        <f t="shared" si="42"/>
        <v>20</v>
      </c>
      <c r="B84" s="463">
        <f t="shared" si="41"/>
        <v>2038</v>
      </c>
      <c r="C84" s="479">
        <v>3799.5</v>
      </c>
      <c r="D84" s="480">
        <v>670.5</v>
      </c>
      <c r="E84" s="471">
        <v>1.6</v>
      </c>
      <c r="F84" s="466">
        <f t="shared" si="34"/>
        <v>2218908.0000000005</v>
      </c>
      <c r="G84" s="466">
        <f t="shared" si="35"/>
        <v>391572</v>
      </c>
      <c r="H84" s="467">
        <f t="shared" si="43"/>
        <v>0.17212466356171729</v>
      </c>
      <c r="I84" s="467">
        <f t="shared" si="43"/>
        <v>2.0259912829543736</v>
      </c>
      <c r="J84" s="467">
        <f t="shared" si="43"/>
        <v>8.0745125903781773E-2</v>
      </c>
      <c r="K84" s="467">
        <f t="shared" si="43"/>
        <v>1.0379888959872427E-2</v>
      </c>
      <c r="L84" s="468">
        <f t="shared" si="44"/>
        <v>361.46179347960634</v>
      </c>
      <c r="M84" s="468">
        <f t="shared" si="44"/>
        <v>17423.525033407612</v>
      </c>
      <c r="N84" s="468">
        <f t="shared" si="44"/>
        <v>31030.351884823336</v>
      </c>
      <c r="O84" s="468">
        <f t="shared" si="44"/>
        <v>520.03243688960856</v>
      </c>
      <c r="P84" s="468">
        <f t="shared" si="37"/>
        <v>884.27921616000003</v>
      </c>
      <c r="Q84" s="468">
        <f t="shared" si="38"/>
        <v>50219.650364760171</v>
      </c>
      <c r="R84" s="469">
        <f t="shared" si="39"/>
        <v>12977.71196892246</v>
      </c>
      <c r="W84" s="470">
        <f t="shared" si="40"/>
        <v>93.408596226312412</v>
      </c>
      <c r="X84" s="470">
        <f t="shared" si="31"/>
        <v>4502.5699646356734</v>
      </c>
      <c r="Y84" s="470">
        <f t="shared" si="32"/>
        <v>8018.8325910394979</v>
      </c>
      <c r="Z84" s="470">
        <f t="shared" si="33"/>
        <v>134.38626377187876</v>
      </c>
    </row>
    <row r="85" spans="1:26" ht="15" customHeight="1" x14ac:dyDescent="0.3">
      <c r="A85" s="463">
        <f t="shared" si="42"/>
        <v>21</v>
      </c>
      <c r="B85" s="463">
        <f t="shared" si="41"/>
        <v>2039</v>
      </c>
      <c r="C85" s="479">
        <v>3816.5</v>
      </c>
      <c r="D85" s="480">
        <v>673.5</v>
      </c>
      <c r="E85" s="471">
        <v>1.6</v>
      </c>
      <c r="F85" s="466">
        <f t="shared" si="34"/>
        <v>2228836</v>
      </c>
      <c r="G85" s="466">
        <f t="shared" si="35"/>
        <v>393324.00000000006</v>
      </c>
      <c r="H85" s="467">
        <f t="shared" si="43"/>
        <v>0.17289479628458848</v>
      </c>
      <c r="I85" s="467">
        <f t="shared" si="43"/>
        <v>2.0350561209094269</v>
      </c>
      <c r="J85" s="467">
        <f t="shared" si="43"/>
        <v>8.1106401634894895E-2</v>
      </c>
      <c r="K85" s="467">
        <f t="shared" si="43"/>
        <v>1.0426331416068725E-2</v>
      </c>
      <c r="L85" s="468">
        <f t="shared" si="44"/>
        <v>363.07907219763581</v>
      </c>
      <c r="M85" s="468">
        <f t="shared" si="44"/>
        <v>17501.482639821072</v>
      </c>
      <c r="N85" s="468">
        <f t="shared" si="44"/>
        <v>31169.190148290108</v>
      </c>
      <c r="O85" s="468">
        <f t="shared" si="44"/>
        <v>522.35920394504308</v>
      </c>
      <c r="P85" s="468">
        <f t="shared" si="37"/>
        <v>888.2357227199999</v>
      </c>
      <c r="Q85" s="468">
        <f t="shared" si="38"/>
        <v>50444.34678697386</v>
      </c>
      <c r="R85" s="469">
        <f t="shared" si="39"/>
        <v>12182.969901202585</v>
      </c>
      <c r="W85" s="470">
        <f t="shared" si="40"/>
        <v>87.688347457848295</v>
      </c>
      <c r="X85" s="470">
        <f t="shared" si="31"/>
        <v>4226.837094903547</v>
      </c>
      <c r="Y85" s="470">
        <f t="shared" si="32"/>
        <v>7527.7673239598034</v>
      </c>
      <c r="Z85" s="470">
        <f t="shared" si="33"/>
        <v>126.15658373282645</v>
      </c>
    </row>
    <row r="86" spans="1:26" ht="15" customHeight="1" x14ac:dyDescent="0.3">
      <c r="A86" s="463">
        <f t="shared" si="42"/>
        <v>22</v>
      </c>
      <c r="B86" s="463">
        <f t="shared" si="41"/>
        <v>2040</v>
      </c>
      <c r="C86" s="479">
        <v>3833.5</v>
      </c>
      <c r="D86" s="480">
        <v>676.5</v>
      </c>
      <c r="E86" s="471">
        <v>1.6</v>
      </c>
      <c r="F86" s="466">
        <f t="shared" si="34"/>
        <v>2238764</v>
      </c>
      <c r="G86" s="466">
        <f t="shared" si="35"/>
        <v>395076.00000000006</v>
      </c>
      <c r="H86" s="467">
        <f t="shared" si="43"/>
        <v>0.17366492900745972</v>
      </c>
      <c r="I86" s="467">
        <f t="shared" si="43"/>
        <v>2.0441209588644802</v>
      </c>
      <c r="J86" s="467">
        <f t="shared" si="43"/>
        <v>8.1467677366008018E-2</v>
      </c>
      <c r="K86" s="467">
        <f t="shared" si="43"/>
        <v>1.0472773872265022E-2</v>
      </c>
      <c r="L86" s="468">
        <f t="shared" si="44"/>
        <v>364.69635091566539</v>
      </c>
      <c r="M86" s="468">
        <f t="shared" si="44"/>
        <v>17579.440246234532</v>
      </c>
      <c r="N86" s="468">
        <f t="shared" si="44"/>
        <v>31308.028411756881</v>
      </c>
      <c r="O86" s="468">
        <f t="shared" si="44"/>
        <v>524.68597100047759</v>
      </c>
      <c r="P86" s="468">
        <f t="shared" si="37"/>
        <v>892.19222927999999</v>
      </c>
      <c r="Q86" s="468">
        <f t="shared" si="38"/>
        <v>50669.043209187555</v>
      </c>
      <c r="R86" s="469">
        <f t="shared" si="39"/>
        <v>11436.67011935634</v>
      </c>
      <c r="W86" s="470">
        <f t="shared" si="40"/>
        <v>82.316767694543614</v>
      </c>
      <c r="X86" s="470">
        <f t="shared" si="31"/>
        <v>3967.9111000593221</v>
      </c>
      <c r="Y86" s="470">
        <f t="shared" si="32"/>
        <v>7066.634188343508</v>
      </c>
      <c r="Z86" s="470">
        <f t="shared" si="33"/>
        <v>118.42853123973259</v>
      </c>
    </row>
    <row r="87" spans="1:26" ht="15" customHeight="1" x14ac:dyDescent="0.3">
      <c r="A87" s="463">
        <f t="shared" si="42"/>
        <v>23</v>
      </c>
      <c r="B87" s="463">
        <f t="shared" si="41"/>
        <v>2041</v>
      </c>
      <c r="C87" s="479">
        <v>3850.5</v>
      </c>
      <c r="D87" s="480">
        <v>679.5</v>
      </c>
      <c r="E87" s="471">
        <v>1.6</v>
      </c>
      <c r="F87" s="466">
        <f t="shared" si="34"/>
        <v>2248692</v>
      </c>
      <c r="G87" s="466">
        <f t="shared" si="35"/>
        <v>396828</v>
      </c>
      <c r="H87" s="467">
        <f t="shared" si="43"/>
        <v>0.17443506173033094</v>
      </c>
      <c r="I87" s="467">
        <f t="shared" si="43"/>
        <v>2.0531857968195331</v>
      </c>
      <c r="J87" s="467">
        <f t="shared" si="43"/>
        <v>8.1828953097121127E-2</v>
      </c>
      <c r="K87" s="467">
        <f t="shared" si="43"/>
        <v>1.0519216328461319E-2</v>
      </c>
      <c r="L87" s="468">
        <f t="shared" si="44"/>
        <v>366.31362963369497</v>
      </c>
      <c r="M87" s="468">
        <f t="shared" si="44"/>
        <v>17657.397852647984</v>
      </c>
      <c r="N87" s="468">
        <f t="shared" si="44"/>
        <v>31446.86667522365</v>
      </c>
      <c r="O87" s="468">
        <f t="shared" si="44"/>
        <v>527.01273805591211</v>
      </c>
      <c r="P87" s="468">
        <f t="shared" si="37"/>
        <v>896.14873583999986</v>
      </c>
      <c r="Q87" s="468">
        <f t="shared" si="38"/>
        <v>50893.739631401237</v>
      </c>
      <c r="R87" s="469">
        <f t="shared" si="39"/>
        <v>10735.875757026795</v>
      </c>
      <c r="W87" s="470">
        <f t="shared" si="40"/>
        <v>77.272718498100289</v>
      </c>
      <c r="X87" s="470">
        <f t="shared" si="31"/>
        <v>3724.7730450025333</v>
      </c>
      <c r="Y87" s="470">
        <f t="shared" si="32"/>
        <v>6633.6185161108415</v>
      </c>
      <c r="Z87" s="470">
        <f t="shared" si="33"/>
        <v>111.17169457612133</v>
      </c>
    </row>
    <row r="88" spans="1:26" ht="15" customHeight="1" x14ac:dyDescent="0.3">
      <c r="A88" s="463">
        <f t="shared" si="42"/>
        <v>24</v>
      </c>
      <c r="B88" s="463">
        <f t="shared" si="41"/>
        <v>2042</v>
      </c>
      <c r="C88" s="479">
        <v>3867.5</v>
      </c>
      <c r="D88" s="480">
        <v>682.5</v>
      </c>
      <c r="E88" s="471">
        <v>1.6</v>
      </c>
      <c r="F88" s="466">
        <f t="shared" si="34"/>
        <v>2258620</v>
      </c>
      <c r="G88" s="466">
        <f t="shared" si="35"/>
        <v>398580</v>
      </c>
      <c r="H88" s="467">
        <f t="shared" si="43"/>
        <v>0.17520519445320215</v>
      </c>
      <c r="I88" s="467">
        <f t="shared" si="43"/>
        <v>2.0622506347745864</v>
      </c>
      <c r="J88" s="467">
        <f t="shared" si="43"/>
        <v>8.2190228828234235E-2</v>
      </c>
      <c r="K88" s="467">
        <f t="shared" si="43"/>
        <v>1.0565658784657615E-2</v>
      </c>
      <c r="L88" s="468">
        <f t="shared" si="44"/>
        <v>367.9309083517245</v>
      </c>
      <c r="M88" s="468">
        <f t="shared" si="44"/>
        <v>17735.355459061444</v>
      </c>
      <c r="N88" s="468">
        <f t="shared" si="44"/>
        <v>31585.704938690418</v>
      </c>
      <c r="O88" s="468">
        <f t="shared" si="44"/>
        <v>529.33950511134651</v>
      </c>
      <c r="P88" s="468">
        <f t="shared" si="37"/>
        <v>900.10524239999995</v>
      </c>
      <c r="Q88" s="468">
        <f t="shared" si="38"/>
        <v>51118.43605361494</v>
      </c>
      <c r="R88" s="469">
        <f t="shared" si="39"/>
        <v>10077.826885038874</v>
      </c>
      <c r="W88" s="470">
        <f t="shared" si="40"/>
        <v>72.536334956232849</v>
      </c>
      <c r="X88" s="470">
        <f t="shared" si="31"/>
        <v>3496.4653823443973</v>
      </c>
      <c r="Y88" s="470">
        <f t="shared" si="32"/>
        <v>6227.0149673628202</v>
      </c>
      <c r="Z88" s="470">
        <f t="shared" si="33"/>
        <v>104.35749423807057</v>
      </c>
    </row>
    <row r="89" spans="1:26" ht="15" customHeight="1" x14ac:dyDescent="0.3">
      <c r="A89" s="463">
        <f t="shared" si="42"/>
        <v>25</v>
      </c>
      <c r="B89" s="463">
        <f t="shared" si="41"/>
        <v>2043</v>
      </c>
      <c r="C89" s="479">
        <v>3884.5</v>
      </c>
      <c r="D89" s="480">
        <v>685.5</v>
      </c>
      <c r="E89" s="471">
        <v>1.6</v>
      </c>
      <c r="F89" s="466">
        <f t="shared" si="34"/>
        <v>2268548.0000000005</v>
      </c>
      <c r="G89" s="466">
        <f t="shared" si="35"/>
        <v>400332</v>
      </c>
      <c r="H89" s="467">
        <f t="shared" si="43"/>
        <v>0.17597532717607337</v>
      </c>
      <c r="I89" s="467">
        <f t="shared" si="43"/>
        <v>2.0713154727296392</v>
      </c>
      <c r="J89" s="467">
        <f t="shared" si="43"/>
        <v>8.2551504559347372E-2</v>
      </c>
      <c r="K89" s="467">
        <f t="shared" si="43"/>
        <v>1.0612101240853915E-2</v>
      </c>
      <c r="L89" s="468">
        <f t="shared" si="44"/>
        <v>369.54818706975408</v>
      </c>
      <c r="M89" s="468">
        <f t="shared" si="44"/>
        <v>17813.313065474897</v>
      </c>
      <c r="N89" s="468">
        <f t="shared" si="44"/>
        <v>31724.543202157194</v>
      </c>
      <c r="O89" s="468">
        <f t="shared" si="44"/>
        <v>531.66627216678114</v>
      </c>
      <c r="P89" s="468">
        <f t="shared" si="37"/>
        <v>904.06174896000016</v>
      </c>
      <c r="Q89" s="468">
        <f t="shared" si="38"/>
        <v>51343.132475828621</v>
      </c>
      <c r="R89" s="469">
        <f t="shared" si="39"/>
        <v>9459.9299300868115</v>
      </c>
      <c r="W89" s="470">
        <f t="shared" si="40"/>
        <v>68.08894952243692</v>
      </c>
      <c r="X89" s="470">
        <f t="shared" si="31"/>
        <v>3282.0882812599139</v>
      </c>
      <c r="Y89" s="470">
        <f t="shared" si="32"/>
        <v>5845.2209922662196</v>
      </c>
      <c r="Z89" s="470">
        <f t="shared" si="33"/>
        <v>97.959073363044595</v>
      </c>
    </row>
    <row r="90" spans="1:26" ht="15" customHeight="1" x14ac:dyDescent="0.3">
      <c r="A90" s="463">
        <f t="shared" si="42"/>
        <v>26</v>
      </c>
      <c r="B90" s="463">
        <f t="shared" si="41"/>
        <v>2044</v>
      </c>
      <c r="C90" s="479">
        <v>3901.5</v>
      </c>
      <c r="D90" s="480">
        <v>688.5</v>
      </c>
      <c r="E90" s="471">
        <v>1.6</v>
      </c>
      <c r="F90" s="466">
        <f t="shared" si="34"/>
        <v>2278476</v>
      </c>
      <c r="G90" s="466">
        <f t="shared" si="35"/>
        <v>402084.00000000006</v>
      </c>
      <c r="H90" s="467">
        <f t="shared" si="43"/>
        <v>0.17674545989894458</v>
      </c>
      <c r="I90" s="467">
        <f t="shared" si="43"/>
        <v>2.0803803106846925</v>
      </c>
      <c r="J90" s="467">
        <f t="shared" si="43"/>
        <v>8.2912780290460494E-2</v>
      </c>
      <c r="K90" s="467">
        <f t="shared" si="43"/>
        <v>1.065854369705021E-2</v>
      </c>
      <c r="L90" s="468">
        <f t="shared" si="44"/>
        <v>371.1654657877836</v>
      </c>
      <c r="M90" s="468">
        <f t="shared" si="44"/>
        <v>17891.270671888356</v>
      </c>
      <c r="N90" s="468">
        <f t="shared" si="44"/>
        <v>31863.381465623967</v>
      </c>
      <c r="O90" s="468">
        <f t="shared" si="44"/>
        <v>533.99303922221554</v>
      </c>
      <c r="P90" s="468">
        <f t="shared" si="37"/>
        <v>908.01825552000003</v>
      </c>
      <c r="Q90" s="468">
        <f t="shared" si="38"/>
        <v>51567.828898042324</v>
      </c>
      <c r="R90" s="469">
        <f t="shared" si="39"/>
        <v>8879.7477206279218</v>
      </c>
      <c r="W90" s="470">
        <f t="shared" si="40"/>
        <v>63.913020370147748</v>
      </c>
      <c r="X90" s="470">
        <f t="shared" si="31"/>
        <v>3080.7961739469129</v>
      </c>
      <c r="Y90" s="470">
        <f t="shared" si="32"/>
        <v>5486.730680484663</v>
      </c>
      <c r="Z90" s="470">
        <f t="shared" si="33"/>
        <v>91.951194653546025</v>
      </c>
    </row>
    <row r="91" spans="1:26" ht="15" customHeight="1" x14ac:dyDescent="0.3">
      <c r="A91" s="463">
        <f t="shared" si="42"/>
        <v>27</v>
      </c>
      <c r="B91" s="463">
        <f t="shared" si="41"/>
        <v>2045</v>
      </c>
      <c r="C91" s="479">
        <v>3918.5</v>
      </c>
      <c r="D91" s="480">
        <v>691.5</v>
      </c>
      <c r="E91" s="471">
        <v>1.6</v>
      </c>
      <c r="F91" s="466">
        <f t="shared" si="34"/>
        <v>2288404</v>
      </c>
      <c r="G91" s="466">
        <f t="shared" si="35"/>
        <v>403836.00000000006</v>
      </c>
      <c r="H91" s="467">
        <f t="shared" si="43"/>
        <v>0.17751559262181579</v>
      </c>
      <c r="I91" s="467">
        <f t="shared" si="43"/>
        <v>2.0894451486397458</v>
      </c>
      <c r="J91" s="467">
        <f t="shared" si="43"/>
        <v>8.3274056021573589E-2</v>
      </c>
      <c r="K91" s="467">
        <f t="shared" si="43"/>
        <v>1.0704986153246507E-2</v>
      </c>
      <c r="L91" s="468">
        <f t="shared" si="44"/>
        <v>372.78274450581318</v>
      </c>
      <c r="M91" s="468">
        <f t="shared" si="44"/>
        <v>17969.228278301813</v>
      </c>
      <c r="N91" s="468">
        <f t="shared" si="44"/>
        <v>32002.219729090732</v>
      </c>
      <c r="O91" s="468">
        <f t="shared" si="44"/>
        <v>536.31980627765006</v>
      </c>
      <c r="P91" s="468">
        <f t="shared" si="37"/>
        <v>911.97476207999989</v>
      </c>
      <c r="Q91" s="468">
        <f t="shared" si="38"/>
        <v>51792.525320256005</v>
      </c>
      <c r="R91" s="469">
        <f t="shared" si="39"/>
        <v>8334.9901232045904</v>
      </c>
      <c r="W91" s="470">
        <f t="shared" si="40"/>
        <v>59.99206399657546</v>
      </c>
      <c r="X91" s="470">
        <f t="shared" si="31"/>
        <v>2891.7945069320272</v>
      </c>
      <c r="Y91" s="470">
        <f t="shared" si="32"/>
        <v>5150.1289754310028</v>
      </c>
      <c r="Z91" s="470">
        <f t="shared" si="33"/>
        <v>86.310143414747031</v>
      </c>
    </row>
    <row r="92" spans="1:26" ht="15" customHeight="1" x14ac:dyDescent="0.3">
      <c r="A92" s="463">
        <f t="shared" si="42"/>
        <v>28</v>
      </c>
      <c r="B92" s="463">
        <f t="shared" si="41"/>
        <v>2046</v>
      </c>
      <c r="C92" s="479">
        <v>3935.5</v>
      </c>
      <c r="D92" s="480">
        <v>694.5</v>
      </c>
      <c r="E92" s="471">
        <v>1.6</v>
      </c>
      <c r="F92" s="466">
        <f t="shared" si="34"/>
        <v>2298332</v>
      </c>
      <c r="G92" s="466">
        <f t="shared" si="35"/>
        <v>405588</v>
      </c>
      <c r="H92" s="467">
        <f t="shared" si="43"/>
        <v>0.17828572534468698</v>
      </c>
      <c r="I92" s="467">
        <f t="shared" si="43"/>
        <v>2.0985099865947987</v>
      </c>
      <c r="J92" s="467">
        <f t="shared" si="43"/>
        <v>8.3635331752686712E-2</v>
      </c>
      <c r="K92" s="467">
        <f t="shared" si="43"/>
        <v>1.0751428609442804E-2</v>
      </c>
      <c r="L92" s="468">
        <f t="shared" si="44"/>
        <v>374.40002322384265</v>
      </c>
      <c r="M92" s="468">
        <f t="shared" si="44"/>
        <v>18047.185884715269</v>
      </c>
      <c r="N92" s="468">
        <f t="shared" si="44"/>
        <v>32141.057992557504</v>
      </c>
      <c r="O92" s="468">
        <f t="shared" si="44"/>
        <v>538.64657333308446</v>
      </c>
      <c r="P92" s="468">
        <f t="shared" si="37"/>
        <v>915.93126863999998</v>
      </c>
      <c r="Q92" s="468">
        <f t="shared" si="38"/>
        <v>52017.221742469701</v>
      </c>
      <c r="R92" s="469">
        <f t="shared" si="39"/>
        <v>7823.505234544421</v>
      </c>
      <c r="W92" s="470">
        <f t="shared" si="40"/>
        <v>56.310591826817841</v>
      </c>
      <c r="X92" s="470">
        <f t="shared" si="31"/>
        <v>2714.3366852018748</v>
      </c>
      <c r="Y92" s="470">
        <f t="shared" si="32"/>
        <v>4834.0862319308999</v>
      </c>
      <c r="Z92" s="470">
        <f t="shared" si="33"/>
        <v>81.013636347290273</v>
      </c>
    </row>
    <row r="93" spans="1:26" ht="15" customHeight="1" x14ac:dyDescent="0.3">
      <c r="A93" s="463">
        <f t="shared" si="42"/>
        <v>29</v>
      </c>
      <c r="B93" s="463">
        <f t="shared" si="41"/>
        <v>2047</v>
      </c>
      <c r="C93" s="479">
        <v>3952.5</v>
      </c>
      <c r="D93" s="480">
        <v>697.5</v>
      </c>
      <c r="E93" s="471">
        <v>1.6</v>
      </c>
      <c r="F93" s="466">
        <f t="shared" si="34"/>
        <v>2308260</v>
      </c>
      <c r="G93" s="466">
        <f t="shared" si="35"/>
        <v>407340</v>
      </c>
      <c r="H93" s="467">
        <f t="shared" si="43"/>
        <v>0.17905585806755822</v>
      </c>
      <c r="I93" s="467">
        <f t="shared" si="43"/>
        <v>2.1075748245498516</v>
      </c>
      <c r="J93" s="467">
        <f t="shared" si="43"/>
        <v>8.3996607483799821E-2</v>
      </c>
      <c r="K93" s="467">
        <f t="shared" si="43"/>
        <v>1.0797871065639102E-2</v>
      </c>
      <c r="L93" s="468">
        <f t="shared" si="44"/>
        <v>376.01730194187229</v>
      </c>
      <c r="M93" s="468">
        <f t="shared" si="44"/>
        <v>18125.143491128725</v>
      </c>
      <c r="N93" s="468">
        <f t="shared" si="44"/>
        <v>32279.896256024273</v>
      </c>
      <c r="O93" s="468">
        <f t="shared" si="44"/>
        <v>540.97334038851898</v>
      </c>
      <c r="P93" s="468">
        <f t="shared" si="37"/>
        <v>919.88777519999996</v>
      </c>
      <c r="Q93" s="468">
        <f t="shared" si="38"/>
        <v>52241.918164683389</v>
      </c>
      <c r="R93" s="469">
        <f t="shared" si="39"/>
        <v>7343.2710967948879</v>
      </c>
      <c r="W93" s="470">
        <f t="shared" si="40"/>
        <v>52.854050583295255</v>
      </c>
      <c r="X93" s="470">
        <f t="shared" si="31"/>
        <v>2547.7211978338582</v>
      </c>
      <c r="Y93" s="470">
        <f t="shared" si="32"/>
        <v>4537.3530971273658</v>
      </c>
      <c r="Z93" s="470">
        <f t="shared" si="33"/>
        <v>76.040735757231346</v>
      </c>
    </row>
    <row r="94" spans="1:26" ht="15" customHeight="1" x14ac:dyDescent="0.3">
      <c r="A94" s="463">
        <f t="shared" si="42"/>
        <v>30</v>
      </c>
      <c r="B94" s="463">
        <f t="shared" si="41"/>
        <v>2048</v>
      </c>
      <c r="C94" s="479">
        <v>3969.5</v>
      </c>
      <c r="D94" s="480">
        <v>700.5</v>
      </c>
      <c r="E94" s="471">
        <v>1.6</v>
      </c>
      <c r="F94" s="466">
        <f t="shared" si="34"/>
        <v>2318188.0000000005</v>
      </c>
      <c r="G94" s="466">
        <f t="shared" si="35"/>
        <v>409092</v>
      </c>
      <c r="H94" s="467">
        <f t="shared" si="43"/>
        <v>0.17982599079042946</v>
      </c>
      <c r="I94" s="467">
        <f t="shared" si="43"/>
        <v>2.1166396625049049</v>
      </c>
      <c r="J94" s="467">
        <f t="shared" si="43"/>
        <v>8.4357883214912957E-2</v>
      </c>
      <c r="K94" s="467">
        <f t="shared" si="43"/>
        <v>1.0844313521835399E-2</v>
      </c>
      <c r="L94" s="468">
        <f t="shared" si="44"/>
        <v>377.63458065990187</v>
      </c>
      <c r="M94" s="468">
        <f t="shared" si="44"/>
        <v>18203.101097542181</v>
      </c>
      <c r="N94" s="468">
        <f t="shared" si="44"/>
        <v>32418.734519491049</v>
      </c>
      <c r="O94" s="468">
        <f t="shared" si="44"/>
        <v>543.30010744395349</v>
      </c>
      <c r="P94" s="468">
        <f t="shared" si="37"/>
        <v>923.84428176000006</v>
      </c>
      <c r="Q94" s="468">
        <f t="shared" si="38"/>
        <v>52466.614586897085</v>
      </c>
      <c r="R94" s="469">
        <f t="shared" si="39"/>
        <v>6892.3879051416197</v>
      </c>
      <c r="W94" s="470">
        <f t="shared" si="40"/>
        <v>49.608766199173722</v>
      </c>
      <c r="X94" s="470">
        <f t="shared" si="31"/>
        <v>2391.2889144576661</v>
      </c>
      <c r="Y94" s="470">
        <f t="shared" si="32"/>
        <v>4258.7556956255248</v>
      </c>
      <c r="Z94" s="470">
        <f t="shared" si="33"/>
        <v>71.371768864691063</v>
      </c>
    </row>
    <row r="95" spans="1:26" ht="15" customHeight="1" x14ac:dyDescent="0.3">
      <c r="A95" s="463">
        <f t="shared" si="42"/>
        <v>31</v>
      </c>
      <c r="B95" s="463">
        <f t="shared" si="41"/>
        <v>2049</v>
      </c>
      <c r="C95" s="481">
        <v>3969.5</v>
      </c>
      <c r="D95" s="482">
        <v>700.5</v>
      </c>
      <c r="E95" s="474">
        <v>1.6</v>
      </c>
      <c r="F95" s="466">
        <f t="shared" si="34"/>
        <v>2318188.0000000005</v>
      </c>
      <c r="G95" s="466">
        <f t="shared" si="35"/>
        <v>409092</v>
      </c>
      <c r="H95" s="467">
        <f t="shared" si="43"/>
        <v>0.17982599079042946</v>
      </c>
      <c r="I95" s="467">
        <f t="shared" si="43"/>
        <v>2.1166396625049049</v>
      </c>
      <c r="J95" s="467">
        <f t="shared" si="43"/>
        <v>8.4357883214912957E-2</v>
      </c>
      <c r="K95" s="467">
        <f t="shared" si="43"/>
        <v>1.0844313521835399E-2</v>
      </c>
      <c r="L95" s="468">
        <f t="shared" si="44"/>
        <v>377.63458065990187</v>
      </c>
      <c r="M95" s="468">
        <f t="shared" si="44"/>
        <v>18203.101097542181</v>
      </c>
      <c r="N95" s="468">
        <f t="shared" si="44"/>
        <v>32418.734519491049</v>
      </c>
      <c r="O95" s="468">
        <f t="shared" si="44"/>
        <v>543.30010744395349</v>
      </c>
      <c r="P95" s="468">
        <f t="shared" si="37"/>
        <v>923.84428176000006</v>
      </c>
      <c r="Q95" s="468">
        <f t="shared" si="38"/>
        <v>52466.614586897085</v>
      </c>
      <c r="R95" s="469">
        <f t="shared" si="39"/>
        <v>6441.4840234968397</v>
      </c>
      <c r="W95" s="470">
        <f t="shared" si="40"/>
        <v>46.363332896424033</v>
      </c>
      <c r="X95" s="470">
        <f t="shared" si="31"/>
        <v>2234.8494527641733</v>
      </c>
      <c r="Y95" s="470">
        <f t="shared" si="32"/>
        <v>3980.1455099303967</v>
      </c>
      <c r="Z95" s="470">
        <f t="shared" si="33"/>
        <v>66.702587724010328</v>
      </c>
    </row>
    <row r="96" spans="1:26" ht="15" customHeight="1" x14ac:dyDescent="0.3">
      <c r="A96" s="307" t="s">
        <v>40</v>
      </c>
      <c r="B96" s="308"/>
      <c r="C96" s="308"/>
      <c r="D96" s="308"/>
      <c r="E96" s="308"/>
      <c r="F96" s="308"/>
      <c r="G96" s="308"/>
      <c r="H96" s="308"/>
      <c r="I96" s="308"/>
      <c r="J96" s="308"/>
      <c r="K96" s="308"/>
      <c r="L96" s="308"/>
      <c r="M96" s="308"/>
      <c r="N96" s="308"/>
      <c r="O96" s="308"/>
      <c r="P96" s="308"/>
      <c r="Q96" s="308"/>
      <c r="R96" s="309">
        <f>SUM(R64:R93)</f>
        <v>368473.08663484536</v>
      </c>
      <c r="W96" s="475">
        <f>SUM(W64:W93)</f>
        <v>2652.1280370653099</v>
      </c>
      <c r="X96" s="475">
        <f>SUM(X64:X93)</f>
        <v>127840.39718492895</v>
      </c>
      <c r="Y96" s="475">
        <f>SUM(Y64:Y93)</f>
        <v>227676.80490243997</v>
      </c>
      <c r="Z96" s="475">
        <f>SUM(Z64:Z93)</f>
        <v>3815.5971970966871</v>
      </c>
    </row>
    <row r="98" spans="1:26" ht="15" customHeight="1" x14ac:dyDescent="0.25">
      <c r="A98" s="581" t="s">
        <v>176</v>
      </c>
      <c r="B98" s="582"/>
      <c r="C98" s="582"/>
      <c r="D98" s="582"/>
      <c r="E98" s="582"/>
      <c r="F98" s="582"/>
      <c r="G98" s="582"/>
      <c r="H98" s="582"/>
      <c r="I98" s="582"/>
      <c r="J98" s="582"/>
      <c r="K98" s="582"/>
      <c r="L98" s="582"/>
      <c r="M98" s="582"/>
      <c r="N98" s="582"/>
      <c r="O98" s="582"/>
      <c r="P98" s="582"/>
      <c r="Q98" s="582"/>
      <c r="R98" s="582"/>
    </row>
    <row r="99" spans="1:26" ht="15" customHeight="1" x14ac:dyDescent="0.3">
      <c r="A99" s="476" t="s">
        <v>145</v>
      </c>
      <c r="B99" s="476" t="s">
        <v>146</v>
      </c>
      <c r="C99" s="476" t="s">
        <v>147</v>
      </c>
      <c r="D99" s="476" t="s">
        <v>148</v>
      </c>
      <c r="E99" s="476" t="s">
        <v>149</v>
      </c>
      <c r="F99" s="476" t="s">
        <v>150</v>
      </c>
      <c r="G99" s="476" t="s">
        <v>151</v>
      </c>
      <c r="H99" s="476" t="s">
        <v>152</v>
      </c>
      <c r="I99" s="476" t="s">
        <v>153</v>
      </c>
      <c r="J99" s="476" t="s">
        <v>154</v>
      </c>
      <c r="K99" s="476" t="s">
        <v>155</v>
      </c>
      <c r="L99" s="476" t="s">
        <v>88</v>
      </c>
      <c r="M99" s="476" t="s">
        <v>156</v>
      </c>
      <c r="N99" s="476" t="s">
        <v>157</v>
      </c>
      <c r="O99" s="476" t="s">
        <v>158</v>
      </c>
      <c r="P99" s="477" t="s">
        <v>159</v>
      </c>
      <c r="Q99" s="477" t="s">
        <v>192</v>
      </c>
      <c r="R99" s="477" t="s">
        <v>160</v>
      </c>
    </row>
    <row r="100" spans="1:26" ht="15" customHeight="1" x14ac:dyDescent="0.3">
      <c r="A100" s="151" t="s">
        <v>193</v>
      </c>
      <c r="B100" s="151" t="s">
        <v>247</v>
      </c>
      <c r="C100" s="151" t="s">
        <v>248</v>
      </c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2"/>
    </row>
    <row r="101" spans="1:26" ht="15" customHeight="1" x14ac:dyDescent="0.3">
      <c r="A101" s="151" t="s">
        <v>196</v>
      </c>
      <c r="B101" s="151">
        <v>24775</v>
      </c>
      <c r="C101" s="151"/>
      <c r="D101" s="151"/>
      <c r="E101" s="151"/>
      <c r="F101" s="151"/>
      <c r="G101" s="151"/>
      <c r="H101" s="151" t="s">
        <v>197</v>
      </c>
      <c r="I101" s="151"/>
      <c r="J101" s="151"/>
      <c r="K101" s="151"/>
      <c r="L101" s="151" t="s">
        <v>198</v>
      </c>
      <c r="M101" s="151"/>
      <c r="N101" s="151"/>
      <c r="O101" s="151"/>
      <c r="P101" s="453" t="s">
        <v>199</v>
      </c>
      <c r="Q101" s="454"/>
      <c r="R101" s="455"/>
    </row>
    <row r="102" spans="1:26" ht="15" customHeight="1" x14ac:dyDescent="0.3">
      <c r="A102" s="151" t="s">
        <v>200</v>
      </c>
      <c r="B102" s="151"/>
      <c r="C102" s="151">
        <v>2018</v>
      </c>
      <c r="D102" s="151"/>
      <c r="E102" s="151"/>
      <c r="F102" s="151"/>
      <c r="G102" s="151"/>
      <c r="H102" s="151" t="s">
        <v>201</v>
      </c>
      <c r="I102" s="151"/>
      <c r="J102" s="151"/>
      <c r="K102" s="151"/>
      <c r="L102" s="151" t="s">
        <v>202</v>
      </c>
      <c r="M102" s="151"/>
      <c r="N102" s="151"/>
      <c r="O102" s="151"/>
      <c r="P102" s="303" t="s">
        <v>203</v>
      </c>
      <c r="Q102" s="151"/>
      <c r="R102" s="153"/>
    </row>
    <row r="103" spans="1:26" ht="15" customHeight="1" x14ac:dyDescent="0.3">
      <c r="A103" s="151" t="s">
        <v>204</v>
      </c>
      <c r="B103" s="151"/>
      <c r="C103" s="151">
        <v>4060</v>
      </c>
      <c r="D103" s="151" t="s">
        <v>205</v>
      </c>
      <c r="E103" s="151"/>
      <c r="F103" s="151"/>
      <c r="G103" s="151"/>
      <c r="H103" s="151" t="s">
        <v>206</v>
      </c>
      <c r="I103" s="151"/>
      <c r="J103" s="151"/>
      <c r="K103" s="151"/>
      <c r="L103" s="151" t="s">
        <v>207</v>
      </c>
      <c r="M103" s="151" t="s">
        <v>208</v>
      </c>
      <c r="N103" s="151" t="s">
        <v>209</v>
      </c>
      <c r="O103" s="151" t="s">
        <v>210</v>
      </c>
      <c r="P103" s="456" t="s">
        <v>211</v>
      </c>
      <c r="Q103" s="457"/>
      <c r="R103" s="458"/>
    </row>
    <row r="104" spans="1:26" ht="15" customHeight="1" x14ac:dyDescent="0.3">
      <c r="A104" s="151" t="s">
        <v>212</v>
      </c>
      <c r="B104" s="151"/>
      <c r="C104" s="151">
        <v>23</v>
      </c>
      <c r="D104" s="151"/>
      <c r="E104" s="154"/>
      <c r="F104" s="151"/>
      <c r="G104" s="151"/>
      <c r="H104" s="151" t="s">
        <v>207</v>
      </c>
      <c r="I104" s="151" t="s">
        <v>213</v>
      </c>
      <c r="J104" s="151" t="s">
        <v>209</v>
      </c>
      <c r="K104" s="151" t="s">
        <v>210</v>
      </c>
      <c r="L104" s="304">
        <v>2100</v>
      </c>
      <c r="M104" s="305">
        <v>8600</v>
      </c>
      <c r="N104" s="305">
        <v>384300</v>
      </c>
      <c r="O104" s="306">
        <v>50100</v>
      </c>
      <c r="P104" s="155"/>
      <c r="Q104" s="151"/>
      <c r="R104" s="152"/>
    </row>
    <row r="105" spans="1:26" ht="15" customHeight="1" x14ac:dyDescent="0.3">
      <c r="A105" s="151" t="s">
        <v>214</v>
      </c>
      <c r="B105" s="151"/>
      <c r="C105" s="151">
        <v>933.8</v>
      </c>
      <c r="D105" s="151" t="s">
        <v>215</v>
      </c>
      <c r="E105" s="151"/>
      <c r="F105" s="151"/>
      <c r="G105" s="151"/>
      <c r="H105" s="156">
        <v>3.6432281029351699E-2</v>
      </c>
      <c r="I105" s="156">
        <v>0.19581096457956468</v>
      </c>
      <c r="J105" s="156">
        <v>8.753858610025091E-3</v>
      </c>
      <c r="K105" s="156">
        <v>2.2429538425628756E-3</v>
      </c>
      <c r="L105" s="155"/>
      <c r="M105" s="155"/>
      <c r="N105" s="155"/>
      <c r="O105" s="155"/>
      <c r="P105" s="155"/>
      <c r="Q105" s="151"/>
      <c r="R105" s="152"/>
    </row>
    <row r="106" spans="1:26" ht="15" customHeight="1" x14ac:dyDescent="0.3">
      <c r="A106" s="151" t="s">
        <v>216</v>
      </c>
      <c r="B106" s="151"/>
      <c r="C106" s="151">
        <v>1.1499999999999999</v>
      </c>
      <c r="D106" s="151"/>
      <c r="E106" s="151"/>
      <c r="F106" s="151"/>
      <c r="G106" s="151"/>
      <c r="H106" s="151" t="s">
        <v>217</v>
      </c>
      <c r="I106" s="151"/>
      <c r="J106" s="151"/>
      <c r="K106" s="151"/>
      <c r="L106" s="151"/>
      <c r="M106" s="151"/>
      <c r="N106" s="151"/>
      <c r="O106" s="151"/>
      <c r="P106" s="151"/>
      <c r="Q106" s="151"/>
      <c r="R106" s="152"/>
    </row>
    <row r="107" spans="1:26" ht="15" customHeight="1" x14ac:dyDescent="0.3">
      <c r="A107" s="151" t="s">
        <v>218</v>
      </c>
      <c r="B107" s="151"/>
      <c r="C107" s="151">
        <v>2025</v>
      </c>
      <c r="D107" s="151"/>
      <c r="E107" s="151"/>
      <c r="F107" s="151"/>
      <c r="G107" s="151"/>
      <c r="H107" s="151" t="s">
        <v>207</v>
      </c>
      <c r="I107" s="151" t="s">
        <v>213</v>
      </c>
      <c r="J107" s="151" t="s">
        <v>209</v>
      </c>
      <c r="K107" s="151" t="s">
        <v>210</v>
      </c>
      <c r="L107" s="151"/>
      <c r="M107" s="151"/>
      <c r="N107" s="151"/>
      <c r="O107" s="151"/>
      <c r="P107" s="151"/>
      <c r="Q107" s="151"/>
      <c r="R107" s="152"/>
    </row>
    <row r="108" spans="1:26" ht="15" customHeight="1" x14ac:dyDescent="0.3">
      <c r="A108" s="151" t="s">
        <v>219</v>
      </c>
      <c r="B108" s="151"/>
      <c r="C108" s="151">
        <v>2.2000000000000002</v>
      </c>
      <c r="D108" s="151" t="s">
        <v>220</v>
      </c>
      <c r="E108" s="151"/>
      <c r="F108" s="151"/>
      <c r="G108" s="151"/>
      <c r="H108" s="156">
        <v>0.1926184710123312</v>
      </c>
      <c r="I108" s="156">
        <v>3.5876303775197051</v>
      </c>
      <c r="J108" s="156">
        <v>0.13760098285564054</v>
      </c>
      <c r="K108" s="156">
        <v>1.13555217375917E-2</v>
      </c>
      <c r="L108" s="151"/>
      <c r="M108" s="151"/>
      <c r="N108" s="151"/>
      <c r="O108" s="151"/>
      <c r="P108" s="151"/>
      <c r="Q108" s="151"/>
      <c r="R108" s="152"/>
    </row>
    <row r="109" spans="1:26" ht="15" customHeight="1" x14ac:dyDescent="0.3">
      <c r="A109" s="151" t="s">
        <v>221</v>
      </c>
      <c r="B109" s="151"/>
      <c r="C109" s="151">
        <v>6.3E-2</v>
      </c>
      <c r="D109" s="151" t="s">
        <v>222</v>
      </c>
      <c r="E109" s="151"/>
      <c r="F109" s="151"/>
      <c r="G109" s="151"/>
      <c r="H109" s="151" t="s">
        <v>223</v>
      </c>
      <c r="I109" s="151"/>
      <c r="J109" s="151"/>
      <c r="K109" s="151"/>
      <c r="L109" s="151" t="s">
        <v>224</v>
      </c>
      <c r="M109" s="151"/>
      <c r="N109" s="151"/>
      <c r="O109" s="151"/>
      <c r="P109" s="151"/>
      <c r="Q109" s="151"/>
      <c r="R109" s="152"/>
    </row>
    <row r="110" spans="1:26" ht="15" customHeight="1" x14ac:dyDescent="0.3">
      <c r="A110" s="459" t="s">
        <v>29</v>
      </c>
      <c r="B110" s="459" t="s">
        <v>30</v>
      </c>
      <c r="C110" s="478" t="s">
        <v>225</v>
      </c>
      <c r="D110" s="478" t="s">
        <v>226</v>
      </c>
      <c r="E110" s="478" t="s">
        <v>183</v>
      </c>
      <c r="F110" s="459" t="s">
        <v>227</v>
      </c>
      <c r="G110" s="459" t="s">
        <v>228</v>
      </c>
      <c r="H110" s="459" t="s">
        <v>229</v>
      </c>
      <c r="I110" s="459" t="s">
        <v>230</v>
      </c>
      <c r="J110" s="459" t="s">
        <v>231</v>
      </c>
      <c r="K110" s="459" t="s">
        <v>232</v>
      </c>
      <c r="L110" s="459" t="s">
        <v>233</v>
      </c>
      <c r="M110" s="459" t="s">
        <v>234</v>
      </c>
      <c r="N110" s="459" t="s">
        <v>235</v>
      </c>
      <c r="O110" s="459" t="s">
        <v>236</v>
      </c>
      <c r="P110" s="461" t="s">
        <v>237</v>
      </c>
      <c r="Q110" s="459" t="s">
        <v>238</v>
      </c>
      <c r="R110" s="459" t="s">
        <v>239</v>
      </c>
      <c r="W110" s="462" t="s">
        <v>240</v>
      </c>
      <c r="X110" s="462" t="s">
        <v>241</v>
      </c>
      <c r="Y110" s="462" t="s">
        <v>242</v>
      </c>
      <c r="Z110" s="462" t="s">
        <v>243</v>
      </c>
    </row>
    <row r="111" spans="1:26" ht="15" customHeight="1" x14ac:dyDescent="0.3">
      <c r="A111" s="463">
        <v>0</v>
      </c>
      <c r="B111" s="463">
        <v>2018</v>
      </c>
      <c r="C111" s="479">
        <v>3126.2</v>
      </c>
      <c r="D111" s="480">
        <v>933.80000000000007</v>
      </c>
      <c r="E111" s="465">
        <v>0</v>
      </c>
      <c r="F111" s="466">
        <f>C111*E111*365</f>
        <v>0</v>
      </c>
      <c r="G111" s="466">
        <f>D111*E111*365</f>
        <v>0</v>
      </c>
      <c r="H111" s="467">
        <f t="shared" ref="H111:K126" si="45">($F111*H$8+$G111*H$11)/1000000*1.1015</f>
        <v>0</v>
      </c>
      <c r="I111" s="467">
        <f t="shared" si="45"/>
        <v>0</v>
      </c>
      <c r="J111" s="467">
        <f t="shared" si="45"/>
        <v>0</v>
      </c>
      <c r="K111" s="467">
        <f t="shared" si="45"/>
        <v>0</v>
      </c>
      <c r="L111" s="468">
        <f>H111*L$7</f>
        <v>0</v>
      </c>
      <c r="M111" s="468">
        <f t="shared" ref="M111:O126" si="46">I111*M$7</f>
        <v>0</v>
      </c>
      <c r="N111" s="468">
        <f t="shared" si="46"/>
        <v>0</v>
      </c>
      <c r="O111" s="468">
        <f t="shared" si="46"/>
        <v>0</v>
      </c>
      <c r="P111" s="468">
        <f>(+F111)*398.52/1000000</f>
        <v>0</v>
      </c>
      <c r="Q111" s="468">
        <f>SUM(L111:P111)</f>
        <v>0</v>
      </c>
      <c r="R111" s="469">
        <f>Q111/(1+0.07)^A111</f>
        <v>0</v>
      </c>
      <c r="W111" s="470">
        <f>L111/(1+0.07)^$A111</f>
        <v>0</v>
      </c>
      <c r="X111" s="470">
        <f t="shared" ref="X111:X142" si="47">M111/(1+0.07)^$A111</f>
        <v>0</v>
      </c>
      <c r="Y111" s="470">
        <f t="shared" ref="Y111:Y142" si="48">N111/(1+0.07)^$A111</f>
        <v>0</v>
      </c>
      <c r="Z111" s="470">
        <f t="shared" ref="Z111:Z142" si="49">O111/(1+0.07)^$A111</f>
        <v>0</v>
      </c>
    </row>
    <row r="112" spans="1:26" ht="15" customHeight="1" x14ac:dyDescent="0.3">
      <c r="A112" s="463">
        <f>1+A111</f>
        <v>1</v>
      </c>
      <c r="B112" s="463">
        <f>1+B111</f>
        <v>2019</v>
      </c>
      <c r="C112" s="479">
        <v>3141.6</v>
      </c>
      <c r="D112" s="480">
        <v>938.40000000000009</v>
      </c>
      <c r="E112" s="465">
        <v>0</v>
      </c>
      <c r="F112" s="466">
        <f t="shared" ref="F112:F142" si="50">C112*E112*365</f>
        <v>0</v>
      </c>
      <c r="G112" s="466">
        <f t="shared" ref="G112:G142" si="51">D112*E112*365</f>
        <v>0</v>
      </c>
      <c r="H112" s="467">
        <f t="shared" si="45"/>
        <v>0</v>
      </c>
      <c r="I112" s="467">
        <f t="shared" si="45"/>
        <v>0</v>
      </c>
      <c r="J112" s="467">
        <f t="shared" si="45"/>
        <v>0</v>
      </c>
      <c r="K112" s="467">
        <f t="shared" si="45"/>
        <v>0</v>
      </c>
      <c r="L112" s="468">
        <f t="shared" ref="L112:O127" si="52">H112*L$7</f>
        <v>0</v>
      </c>
      <c r="M112" s="468">
        <f t="shared" si="46"/>
        <v>0</v>
      </c>
      <c r="N112" s="468">
        <f t="shared" si="46"/>
        <v>0</v>
      </c>
      <c r="O112" s="468">
        <f t="shared" si="46"/>
        <v>0</v>
      </c>
      <c r="P112" s="468">
        <f t="shared" ref="P112:P142" si="53">(+F112)*398.52/1000000</f>
        <v>0</v>
      </c>
      <c r="Q112" s="468">
        <f t="shared" ref="Q112:Q142" si="54">SUM(L112:P112)</f>
        <v>0</v>
      </c>
      <c r="R112" s="469">
        <f t="shared" ref="R112:R142" si="55">Q112/(1+0.07)^A112</f>
        <v>0</v>
      </c>
      <c r="W112" s="470">
        <f t="shared" ref="W112:W142" si="56">L112/(1+0.07)^$A112</f>
        <v>0</v>
      </c>
      <c r="X112" s="470">
        <f t="shared" si="47"/>
        <v>0</v>
      </c>
      <c r="Y112" s="470">
        <f t="shared" si="48"/>
        <v>0</v>
      </c>
      <c r="Z112" s="470">
        <f t="shared" si="49"/>
        <v>0</v>
      </c>
    </row>
    <row r="113" spans="1:26" ht="15" customHeight="1" x14ac:dyDescent="0.3">
      <c r="A113" s="463">
        <f>1+A112</f>
        <v>2</v>
      </c>
      <c r="B113" s="463">
        <f t="shared" ref="B113:B142" si="57">1+B112</f>
        <v>2020</v>
      </c>
      <c r="C113" s="479">
        <v>3157</v>
      </c>
      <c r="D113" s="480">
        <v>943</v>
      </c>
      <c r="E113" s="465">
        <v>0</v>
      </c>
      <c r="F113" s="466">
        <f t="shared" si="50"/>
        <v>0</v>
      </c>
      <c r="G113" s="466">
        <f>D113*E113*365</f>
        <v>0</v>
      </c>
      <c r="H113" s="467">
        <f t="shared" si="45"/>
        <v>0</v>
      </c>
      <c r="I113" s="467">
        <f t="shared" si="45"/>
        <v>0</v>
      </c>
      <c r="J113" s="467">
        <f t="shared" si="45"/>
        <v>0</v>
      </c>
      <c r="K113" s="467">
        <f t="shared" si="45"/>
        <v>0</v>
      </c>
      <c r="L113" s="468">
        <f t="shared" si="52"/>
        <v>0</v>
      </c>
      <c r="M113" s="468">
        <f t="shared" si="46"/>
        <v>0</v>
      </c>
      <c r="N113" s="468">
        <f t="shared" si="46"/>
        <v>0</v>
      </c>
      <c r="O113" s="468">
        <f t="shared" si="46"/>
        <v>0</v>
      </c>
      <c r="P113" s="468">
        <f t="shared" si="53"/>
        <v>0</v>
      </c>
      <c r="Q113" s="468">
        <f t="shared" si="54"/>
        <v>0</v>
      </c>
      <c r="R113" s="469">
        <f t="shared" si="55"/>
        <v>0</v>
      </c>
      <c r="W113" s="470">
        <f t="shared" si="56"/>
        <v>0</v>
      </c>
      <c r="X113" s="470">
        <f t="shared" si="47"/>
        <v>0</v>
      </c>
      <c r="Y113" s="470">
        <f t="shared" si="48"/>
        <v>0</v>
      </c>
      <c r="Z113" s="470">
        <f t="shared" si="49"/>
        <v>0</v>
      </c>
    </row>
    <row r="114" spans="1:26" ht="15" customHeight="1" x14ac:dyDescent="0.3">
      <c r="A114" s="463">
        <f t="shared" ref="A114:A142" si="58">1+A113</f>
        <v>3</v>
      </c>
      <c r="B114" s="463">
        <f t="shared" si="57"/>
        <v>2021</v>
      </c>
      <c r="C114" s="479">
        <v>3172.4</v>
      </c>
      <c r="D114" s="480">
        <v>947.6</v>
      </c>
      <c r="E114" s="465">
        <v>0</v>
      </c>
      <c r="F114" s="466">
        <f t="shared" si="50"/>
        <v>0</v>
      </c>
      <c r="G114" s="466">
        <f t="shared" si="51"/>
        <v>0</v>
      </c>
      <c r="H114" s="467">
        <f t="shared" si="45"/>
        <v>0</v>
      </c>
      <c r="I114" s="467">
        <f t="shared" si="45"/>
        <v>0</v>
      </c>
      <c r="J114" s="467">
        <f t="shared" si="45"/>
        <v>0</v>
      </c>
      <c r="K114" s="467">
        <f t="shared" si="45"/>
        <v>0</v>
      </c>
      <c r="L114" s="468">
        <f t="shared" si="52"/>
        <v>0</v>
      </c>
      <c r="M114" s="468">
        <f t="shared" si="46"/>
        <v>0</v>
      </c>
      <c r="N114" s="468">
        <f t="shared" si="46"/>
        <v>0</v>
      </c>
      <c r="O114" s="468">
        <f t="shared" si="46"/>
        <v>0</v>
      </c>
      <c r="P114" s="468">
        <f t="shared" si="53"/>
        <v>0</v>
      </c>
      <c r="Q114" s="468">
        <f t="shared" si="54"/>
        <v>0</v>
      </c>
      <c r="R114" s="469">
        <f t="shared" si="55"/>
        <v>0</v>
      </c>
      <c r="W114" s="470">
        <f t="shared" si="56"/>
        <v>0</v>
      </c>
      <c r="X114" s="470">
        <f t="shared" si="47"/>
        <v>0</v>
      </c>
      <c r="Y114" s="470">
        <f t="shared" si="48"/>
        <v>0</v>
      </c>
      <c r="Z114" s="470">
        <f t="shared" si="49"/>
        <v>0</v>
      </c>
    </row>
    <row r="115" spans="1:26" ht="15" customHeight="1" x14ac:dyDescent="0.3">
      <c r="A115" s="463">
        <f t="shared" si="58"/>
        <v>4</v>
      </c>
      <c r="B115" s="463">
        <f t="shared" si="57"/>
        <v>2022</v>
      </c>
      <c r="C115" s="479">
        <v>3187.8</v>
      </c>
      <c r="D115" s="480">
        <v>952.2</v>
      </c>
      <c r="E115" s="465">
        <v>0</v>
      </c>
      <c r="F115" s="466">
        <f t="shared" si="50"/>
        <v>0</v>
      </c>
      <c r="G115" s="466">
        <f t="shared" si="51"/>
        <v>0</v>
      </c>
      <c r="H115" s="467">
        <f t="shared" si="45"/>
        <v>0</v>
      </c>
      <c r="I115" s="467">
        <f t="shared" si="45"/>
        <v>0</v>
      </c>
      <c r="J115" s="467">
        <f t="shared" si="45"/>
        <v>0</v>
      </c>
      <c r="K115" s="467">
        <f t="shared" si="45"/>
        <v>0</v>
      </c>
      <c r="L115" s="468">
        <f t="shared" si="52"/>
        <v>0</v>
      </c>
      <c r="M115" s="468">
        <f t="shared" si="46"/>
        <v>0</v>
      </c>
      <c r="N115" s="468">
        <f t="shared" si="46"/>
        <v>0</v>
      </c>
      <c r="O115" s="468">
        <f t="shared" si="46"/>
        <v>0</v>
      </c>
      <c r="P115" s="468">
        <f t="shared" si="53"/>
        <v>0</v>
      </c>
      <c r="Q115" s="468">
        <f t="shared" si="54"/>
        <v>0</v>
      </c>
      <c r="R115" s="469">
        <f t="shared" si="55"/>
        <v>0</v>
      </c>
      <c r="W115" s="470">
        <f t="shared" si="56"/>
        <v>0</v>
      </c>
      <c r="X115" s="470">
        <f t="shared" si="47"/>
        <v>0</v>
      </c>
      <c r="Y115" s="470">
        <f t="shared" si="48"/>
        <v>0</v>
      </c>
      <c r="Z115" s="470">
        <f t="shared" si="49"/>
        <v>0</v>
      </c>
    </row>
    <row r="116" spans="1:26" ht="15" customHeight="1" x14ac:dyDescent="0.3">
      <c r="A116" s="463">
        <f t="shared" si="58"/>
        <v>5</v>
      </c>
      <c r="B116" s="463">
        <f t="shared" si="57"/>
        <v>2023</v>
      </c>
      <c r="C116" s="479">
        <v>3203.2</v>
      </c>
      <c r="D116" s="480">
        <v>956.80000000000007</v>
      </c>
      <c r="E116" s="465">
        <v>0</v>
      </c>
      <c r="F116" s="466">
        <f t="shared" si="50"/>
        <v>0</v>
      </c>
      <c r="G116" s="466">
        <f t="shared" si="51"/>
        <v>0</v>
      </c>
      <c r="H116" s="467">
        <f t="shared" si="45"/>
        <v>0</v>
      </c>
      <c r="I116" s="467">
        <f t="shared" si="45"/>
        <v>0</v>
      </c>
      <c r="J116" s="467">
        <f t="shared" si="45"/>
        <v>0</v>
      </c>
      <c r="K116" s="467">
        <f t="shared" si="45"/>
        <v>0</v>
      </c>
      <c r="L116" s="468">
        <f t="shared" si="52"/>
        <v>0</v>
      </c>
      <c r="M116" s="468">
        <f t="shared" si="46"/>
        <v>0</v>
      </c>
      <c r="N116" s="468">
        <f t="shared" si="46"/>
        <v>0</v>
      </c>
      <c r="O116" s="468">
        <f t="shared" si="46"/>
        <v>0</v>
      </c>
      <c r="P116" s="468">
        <f t="shared" si="53"/>
        <v>0</v>
      </c>
      <c r="Q116" s="468">
        <f t="shared" si="54"/>
        <v>0</v>
      </c>
      <c r="R116" s="469">
        <f t="shared" si="55"/>
        <v>0</v>
      </c>
      <c r="W116" s="470">
        <f t="shared" si="56"/>
        <v>0</v>
      </c>
      <c r="X116" s="470">
        <f t="shared" si="47"/>
        <v>0</v>
      </c>
      <c r="Y116" s="470">
        <f t="shared" si="48"/>
        <v>0</v>
      </c>
      <c r="Z116" s="470">
        <f t="shared" si="49"/>
        <v>0</v>
      </c>
    </row>
    <row r="117" spans="1:26" ht="15" customHeight="1" x14ac:dyDescent="0.3">
      <c r="A117" s="463">
        <f t="shared" si="58"/>
        <v>6</v>
      </c>
      <c r="B117" s="463">
        <f t="shared" si="57"/>
        <v>2024</v>
      </c>
      <c r="C117" s="479">
        <v>3218.6</v>
      </c>
      <c r="D117" s="480">
        <v>961.40000000000009</v>
      </c>
      <c r="E117" s="465">
        <v>0</v>
      </c>
      <c r="F117" s="466">
        <f t="shared" si="50"/>
        <v>0</v>
      </c>
      <c r="G117" s="466">
        <f t="shared" si="51"/>
        <v>0</v>
      </c>
      <c r="H117" s="467">
        <f t="shared" si="45"/>
        <v>0</v>
      </c>
      <c r="I117" s="467">
        <f t="shared" si="45"/>
        <v>0</v>
      </c>
      <c r="J117" s="467">
        <f t="shared" si="45"/>
        <v>0</v>
      </c>
      <c r="K117" s="467">
        <f t="shared" si="45"/>
        <v>0</v>
      </c>
      <c r="L117" s="468">
        <f t="shared" si="52"/>
        <v>0</v>
      </c>
      <c r="M117" s="468">
        <f t="shared" si="46"/>
        <v>0</v>
      </c>
      <c r="N117" s="468">
        <f t="shared" si="46"/>
        <v>0</v>
      </c>
      <c r="O117" s="468">
        <f t="shared" si="46"/>
        <v>0</v>
      </c>
      <c r="P117" s="468">
        <f t="shared" si="53"/>
        <v>0</v>
      </c>
      <c r="Q117" s="468">
        <f t="shared" si="54"/>
        <v>0</v>
      </c>
      <c r="R117" s="469">
        <f t="shared" si="55"/>
        <v>0</v>
      </c>
      <c r="W117" s="470">
        <f t="shared" si="56"/>
        <v>0</v>
      </c>
      <c r="X117" s="470">
        <f t="shared" si="47"/>
        <v>0</v>
      </c>
      <c r="Y117" s="470">
        <f t="shared" si="48"/>
        <v>0</v>
      </c>
      <c r="Z117" s="470">
        <f t="shared" si="49"/>
        <v>0</v>
      </c>
    </row>
    <row r="118" spans="1:26" ht="15" customHeight="1" x14ac:dyDescent="0.3">
      <c r="A118" s="463">
        <f t="shared" si="58"/>
        <v>7</v>
      </c>
      <c r="B118" s="463">
        <f t="shared" si="57"/>
        <v>2025</v>
      </c>
      <c r="C118" s="479">
        <v>3234</v>
      </c>
      <c r="D118" s="480">
        <v>966</v>
      </c>
      <c r="E118" s="471">
        <v>2.2000000000000002</v>
      </c>
      <c r="F118" s="466">
        <f t="shared" si="50"/>
        <v>2596902</v>
      </c>
      <c r="G118" s="466">
        <f t="shared" si="51"/>
        <v>775698.00000000012</v>
      </c>
      <c r="H118" s="467">
        <f t="shared" si="45"/>
        <v>0.26879334605600513</v>
      </c>
      <c r="I118" s="467">
        <f t="shared" si="45"/>
        <v>3.6254986829230496</v>
      </c>
      <c r="J118" s="467">
        <f t="shared" si="45"/>
        <v>0.1426108967245675</v>
      </c>
      <c r="K118" s="467">
        <f t="shared" si="45"/>
        <v>1.6118455282742885E-2</v>
      </c>
      <c r="L118" s="468">
        <f t="shared" si="52"/>
        <v>564.46602671761082</v>
      </c>
      <c r="M118" s="468">
        <f t="shared" si="46"/>
        <v>31179.288673138228</v>
      </c>
      <c r="N118" s="468">
        <f t="shared" si="46"/>
        <v>54805.367611251291</v>
      </c>
      <c r="O118" s="468">
        <f t="shared" si="46"/>
        <v>807.53460966541854</v>
      </c>
      <c r="P118" s="468">
        <f t="shared" si="53"/>
        <v>1034.91738504</v>
      </c>
      <c r="Q118" s="468">
        <f t="shared" si="54"/>
        <v>88391.574305812552</v>
      </c>
      <c r="R118" s="469">
        <f>Q118/(1+0.07)^(A118)</f>
        <v>55045.830083717425</v>
      </c>
      <c r="W118" s="470">
        <f t="shared" si="56"/>
        <v>351.52107244101285</v>
      </c>
      <c r="X118" s="470">
        <f t="shared" si="47"/>
        <v>19416.893973341987</v>
      </c>
      <c r="Y118" s="470">
        <f t="shared" si="48"/>
        <v>34130.028533796874</v>
      </c>
      <c r="Z118" s="470">
        <f t="shared" si="49"/>
        <v>502.89196973201342</v>
      </c>
    </row>
    <row r="119" spans="1:26" ht="15" customHeight="1" x14ac:dyDescent="0.3">
      <c r="A119" s="463">
        <f t="shared" si="58"/>
        <v>8</v>
      </c>
      <c r="B119" s="463">
        <f t="shared" si="57"/>
        <v>2026</v>
      </c>
      <c r="C119" s="479">
        <v>3249.4</v>
      </c>
      <c r="D119" s="480">
        <v>970.6</v>
      </c>
      <c r="E119" s="471">
        <v>2.2000000000000002</v>
      </c>
      <c r="F119" s="466">
        <f t="shared" si="50"/>
        <v>2609268.2000000007</v>
      </c>
      <c r="G119" s="466">
        <f t="shared" si="51"/>
        <v>779391.8</v>
      </c>
      <c r="H119" s="467">
        <f t="shared" si="45"/>
        <v>0.27007331437055759</v>
      </c>
      <c r="I119" s="467">
        <f t="shared" si="45"/>
        <v>3.6427629623655395</v>
      </c>
      <c r="J119" s="467">
        <f t="shared" si="45"/>
        <v>0.14328999623277974</v>
      </c>
      <c r="K119" s="467">
        <f t="shared" si="45"/>
        <v>1.6195209831708329E-2</v>
      </c>
      <c r="L119" s="468">
        <f t="shared" si="52"/>
        <v>567.15396017817091</v>
      </c>
      <c r="M119" s="468">
        <f t="shared" si="46"/>
        <v>31327.76147634364</v>
      </c>
      <c r="N119" s="468">
        <f t="shared" si="46"/>
        <v>55066.345552257255</v>
      </c>
      <c r="O119" s="468">
        <f t="shared" si="46"/>
        <v>811.38001256858729</v>
      </c>
      <c r="P119" s="468">
        <f t="shared" si="53"/>
        <v>1039.8455630640003</v>
      </c>
      <c r="Q119" s="468">
        <f t="shared" si="54"/>
        <v>88812.486564411636</v>
      </c>
      <c r="R119" s="469">
        <f t="shared" si="55"/>
        <v>51689.675779547724</v>
      </c>
      <c r="W119" s="470">
        <f t="shared" si="56"/>
        <v>330.08876851381274</v>
      </c>
      <c r="X119" s="470">
        <f t="shared" si="47"/>
        <v>18233.042404873868</v>
      </c>
      <c r="Y119" s="470">
        <f t="shared" si="48"/>
        <v>32049.114466538231</v>
      </c>
      <c r="Z119" s="470">
        <f t="shared" si="49"/>
        <v>472.23055457701309</v>
      </c>
    </row>
    <row r="120" spans="1:26" ht="15" customHeight="1" x14ac:dyDescent="0.3">
      <c r="A120" s="463">
        <f t="shared" si="58"/>
        <v>9</v>
      </c>
      <c r="B120" s="463">
        <f t="shared" si="57"/>
        <v>2027</v>
      </c>
      <c r="C120" s="479">
        <v>3264.8</v>
      </c>
      <c r="D120" s="480">
        <v>975.2</v>
      </c>
      <c r="E120" s="471">
        <v>2.2000000000000002</v>
      </c>
      <c r="F120" s="466">
        <f t="shared" si="50"/>
        <v>2621634.4000000004</v>
      </c>
      <c r="G120" s="466">
        <f t="shared" si="51"/>
        <v>783085.6</v>
      </c>
      <c r="H120" s="467">
        <f t="shared" si="45"/>
        <v>0.27135328268511</v>
      </c>
      <c r="I120" s="467">
        <f t="shared" si="45"/>
        <v>3.6600272418080304</v>
      </c>
      <c r="J120" s="467">
        <f t="shared" si="45"/>
        <v>0.14396909574099193</v>
      </c>
      <c r="K120" s="467">
        <f t="shared" si="45"/>
        <v>1.6271964380673767E-2</v>
      </c>
      <c r="L120" s="468">
        <f t="shared" si="52"/>
        <v>569.84189363873099</v>
      </c>
      <c r="M120" s="468">
        <f t="shared" si="46"/>
        <v>31476.234279549062</v>
      </c>
      <c r="N120" s="468">
        <f t="shared" si="46"/>
        <v>55327.323493263197</v>
      </c>
      <c r="O120" s="468">
        <f t="shared" si="46"/>
        <v>815.2254154717557</v>
      </c>
      <c r="P120" s="468">
        <f t="shared" si="53"/>
        <v>1044.773741088</v>
      </c>
      <c r="Q120" s="468">
        <f t="shared" si="54"/>
        <v>89233.398823010735</v>
      </c>
      <c r="R120" s="469">
        <f t="shared" si="55"/>
        <v>48537.056585304141</v>
      </c>
      <c r="W120" s="470">
        <f t="shared" si="56"/>
        <v>309.95623388815295</v>
      </c>
      <c r="X120" s="470">
        <f t="shared" si="47"/>
        <v>17120.985914130575</v>
      </c>
      <c r="Y120" s="470">
        <f t="shared" si="48"/>
        <v>30094.398134854509</v>
      </c>
      <c r="Z120" s="470">
        <f t="shared" si="49"/>
        <v>443.42861128726906</v>
      </c>
    </row>
    <row r="121" spans="1:26" ht="15" customHeight="1" x14ac:dyDescent="0.3">
      <c r="A121" s="463">
        <f t="shared" si="58"/>
        <v>10</v>
      </c>
      <c r="B121" s="463">
        <f t="shared" si="57"/>
        <v>2028</v>
      </c>
      <c r="C121" s="479">
        <v>3280.2</v>
      </c>
      <c r="D121" s="480">
        <v>979.80000000000007</v>
      </c>
      <c r="E121" s="471">
        <v>2.2000000000000002</v>
      </c>
      <c r="F121" s="466">
        <f t="shared" si="50"/>
        <v>2634000.6</v>
      </c>
      <c r="G121" s="466">
        <f t="shared" si="51"/>
        <v>786779.40000000014</v>
      </c>
      <c r="H121" s="467">
        <f t="shared" si="45"/>
        <v>0.2726332509996624</v>
      </c>
      <c r="I121" s="467">
        <f t="shared" si="45"/>
        <v>3.6772915212505208</v>
      </c>
      <c r="J121" s="467">
        <f t="shared" si="45"/>
        <v>0.14464819524920419</v>
      </c>
      <c r="K121" s="467">
        <f t="shared" si="45"/>
        <v>1.6348718929639211E-2</v>
      </c>
      <c r="L121" s="468">
        <f t="shared" si="52"/>
        <v>572.52982709929108</v>
      </c>
      <c r="M121" s="468">
        <f t="shared" si="46"/>
        <v>31624.707082754478</v>
      </c>
      <c r="N121" s="468">
        <f t="shared" si="46"/>
        <v>55588.301434269168</v>
      </c>
      <c r="O121" s="468">
        <f t="shared" si="46"/>
        <v>819.07081837492444</v>
      </c>
      <c r="P121" s="468">
        <f t="shared" si="53"/>
        <v>1049.701919112</v>
      </c>
      <c r="Q121" s="468">
        <f t="shared" si="54"/>
        <v>89654.311081609863</v>
      </c>
      <c r="R121" s="469">
        <f t="shared" si="55"/>
        <v>45575.705575162159</v>
      </c>
      <c r="W121" s="470">
        <f t="shared" si="56"/>
        <v>291.045132331937</v>
      </c>
      <c r="X121" s="470">
        <f t="shared" si="47"/>
        <v>16076.397459486036</v>
      </c>
      <c r="Y121" s="470">
        <f t="shared" si="48"/>
        <v>28258.273685082051</v>
      </c>
      <c r="Z121" s="470">
        <f t="shared" si="49"/>
        <v>416.37407072909684</v>
      </c>
    </row>
    <row r="122" spans="1:26" ht="15" customHeight="1" x14ac:dyDescent="0.3">
      <c r="A122" s="463">
        <f t="shared" si="58"/>
        <v>11</v>
      </c>
      <c r="B122" s="463">
        <f t="shared" si="57"/>
        <v>2029</v>
      </c>
      <c r="C122" s="479">
        <v>3295.6</v>
      </c>
      <c r="D122" s="480">
        <v>984.40000000000009</v>
      </c>
      <c r="E122" s="471">
        <v>2.2000000000000002</v>
      </c>
      <c r="F122" s="466">
        <f t="shared" si="50"/>
        <v>2646366.8000000003</v>
      </c>
      <c r="G122" s="466">
        <f t="shared" si="51"/>
        <v>790473.20000000007</v>
      </c>
      <c r="H122" s="467">
        <f t="shared" si="45"/>
        <v>0.27391321931421481</v>
      </c>
      <c r="I122" s="467">
        <f t="shared" si="45"/>
        <v>3.6945558006930117</v>
      </c>
      <c r="J122" s="467">
        <f t="shared" si="45"/>
        <v>0.14532729475741643</v>
      </c>
      <c r="K122" s="467">
        <f t="shared" si="45"/>
        <v>1.6425473478604652E-2</v>
      </c>
      <c r="L122" s="468">
        <f t="shared" si="52"/>
        <v>575.21776055985106</v>
      </c>
      <c r="M122" s="468">
        <f t="shared" si="46"/>
        <v>31773.1798859599</v>
      </c>
      <c r="N122" s="468">
        <f t="shared" si="46"/>
        <v>55849.279375275131</v>
      </c>
      <c r="O122" s="468">
        <f t="shared" si="46"/>
        <v>822.91622127809308</v>
      </c>
      <c r="P122" s="468">
        <f t="shared" si="53"/>
        <v>1054.6300971360001</v>
      </c>
      <c r="Q122" s="468">
        <f t="shared" si="54"/>
        <v>90075.223340208977</v>
      </c>
      <c r="R122" s="469">
        <f t="shared" si="55"/>
        <v>42794.089741936295</v>
      </c>
      <c r="W122" s="470">
        <f t="shared" si="56"/>
        <v>273.28181439618487</v>
      </c>
      <c r="X122" s="470">
        <f t="shared" si="47"/>
        <v>15095.208882146511</v>
      </c>
      <c r="Y122" s="470">
        <f t="shared" si="48"/>
        <v>26533.59031463103</v>
      </c>
      <c r="Z122" s="470">
        <f t="shared" si="49"/>
        <v>390.96156875971531</v>
      </c>
    </row>
    <row r="123" spans="1:26" ht="15" customHeight="1" x14ac:dyDescent="0.3">
      <c r="A123" s="463">
        <f t="shared" si="58"/>
        <v>12</v>
      </c>
      <c r="B123" s="463">
        <f t="shared" si="57"/>
        <v>2030</v>
      </c>
      <c r="C123" s="479">
        <v>3311</v>
      </c>
      <c r="D123" s="480">
        <v>989</v>
      </c>
      <c r="E123" s="471">
        <v>2.2000000000000002</v>
      </c>
      <c r="F123" s="466">
        <f t="shared" si="50"/>
        <v>2658733.0000000005</v>
      </c>
      <c r="G123" s="466">
        <f t="shared" si="51"/>
        <v>794167.00000000012</v>
      </c>
      <c r="H123" s="467">
        <f t="shared" si="45"/>
        <v>0.27519318762876727</v>
      </c>
      <c r="I123" s="467">
        <f t="shared" si="45"/>
        <v>3.7118200801355026</v>
      </c>
      <c r="J123" s="467">
        <f t="shared" si="45"/>
        <v>0.14600639426562867</v>
      </c>
      <c r="K123" s="467">
        <f t="shared" si="45"/>
        <v>1.6502228027570096E-2</v>
      </c>
      <c r="L123" s="468">
        <f t="shared" si="52"/>
        <v>577.90569402041126</v>
      </c>
      <c r="M123" s="468">
        <f t="shared" si="46"/>
        <v>31921.652689165323</v>
      </c>
      <c r="N123" s="468">
        <f t="shared" si="46"/>
        <v>56110.257316281095</v>
      </c>
      <c r="O123" s="468">
        <f t="shared" si="46"/>
        <v>826.76162418126182</v>
      </c>
      <c r="P123" s="468">
        <f t="shared" si="53"/>
        <v>1059.55827516</v>
      </c>
      <c r="Q123" s="468">
        <f t="shared" si="54"/>
        <v>90496.13559880809</v>
      </c>
      <c r="R123" s="469">
        <f t="shared" si="55"/>
        <v>40181.366470942034</v>
      </c>
      <c r="W123" s="470">
        <f t="shared" si="56"/>
        <v>256.5970394583797</v>
      </c>
      <c r="X123" s="470">
        <f t="shared" si="47"/>
        <v>14173.595552718582</v>
      </c>
      <c r="Y123" s="470">
        <f t="shared" si="48"/>
        <v>24913.625284503771</v>
      </c>
      <c r="Z123" s="470">
        <f t="shared" si="49"/>
        <v>367.09204857777451</v>
      </c>
    </row>
    <row r="124" spans="1:26" ht="15" customHeight="1" x14ac:dyDescent="0.3">
      <c r="A124" s="463">
        <f t="shared" si="58"/>
        <v>13</v>
      </c>
      <c r="B124" s="463">
        <f t="shared" si="57"/>
        <v>2031</v>
      </c>
      <c r="C124" s="479">
        <v>3326.4</v>
      </c>
      <c r="D124" s="480">
        <v>993.6</v>
      </c>
      <c r="E124" s="471">
        <v>2.2000000000000002</v>
      </c>
      <c r="F124" s="466">
        <f t="shared" si="50"/>
        <v>2671099.2000000002</v>
      </c>
      <c r="G124" s="466">
        <f t="shared" si="51"/>
        <v>797860.8</v>
      </c>
      <c r="H124" s="467">
        <f t="shared" si="45"/>
        <v>0.27647315594331962</v>
      </c>
      <c r="I124" s="467">
        <f t="shared" si="45"/>
        <v>3.729084359577993</v>
      </c>
      <c r="J124" s="467">
        <f t="shared" si="45"/>
        <v>0.14668549377384088</v>
      </c>
      <c r="K124" s="467">
        <f t="shared" si="45"/>
        <v>1.6578982576535537E-2</v>
      </c>
      <c r="L124" s="468">
        <f t="shared" si="52"/>
        <v>580.59362748097124</v>
      </c>
      <c r="M124" s="468">
        <f t="shared" si="46"/>
        <v>32070.125492370738</v>
      </c>
      <c r="N124" s="468">
        <f t="shared" si="46"/>
        <v>56371.235257287051</v>
      </c>
      <c r="O124" s="468">
        <f t="shared" si="46"/>
        <v>830.60702708443046</v>
      </c>
      <c r="P124" s="468">
        <f t="shared" si="53"/>
        <v>1064.4864531840001</v>
      </c>
      <c r="Q124" s="468">
        <f t="shared" si="54"/>
        <v>90917.047857407189</v>
      </c>
      <c r="R124" s="469">
        <f t="shared" si="55"/>
        <v>37727.342567804728</v>
      </c>
      <c r="W124" s="470">
        <f t="shared" si="56"/>
        <v>240.92571407524451</v>
      </c>
      <c r="X124" s="470">
        <f t="shared" si="47"/>
        <v>13307.961918657738</v>
      </c>
      <c r="Y124" s="470">
        <f t="shared" si="48"/>
        <v>23392.058515334986</v>
      </c>
      <c r="Z124" s="470">
        <f t="shared" si="49"/>
        <v>344.67238640643029</v>
      </c>
    </row>
    <row r="125" spans="1:26" ht="15" customHeight="1" x14ac:dyDescent="0.3">
      <c r="A125" s="463">
        <f t="shared" si="58"/>
        <v>14</v>
      </c>
      <c r="B125" s="463">
        <f t="shared" si="57"/>
        <v>2032</v>
      </c>
      <c r="C125" s="479">
        <v>3341.8</v>
      </c>
      <c r="D125" s="480">
        <v>998.2</v>
      </c>
      <c r="E125" s="471">
        <v>2.2000000000000002</v>
      </c>
      <c r="F125" s="466">
        <f t="shared" si="50"/>
        <v>2683465.4000000004</v>
      </c>
      <c r="G125" s="466">
        <f t="shared" si="51"/>
        <v>801554.60000000021</v>
      </c>
      <c r="H125" s="467">
        <f t="shared" si="45"/>
        <v>0.27775312425787207</v>
      </c>
      <c r="I125" s="467">
        <f t="shared" si="45"/>
        <v>3.7463486390204843</v>
      </c>
      <c r="J125" s="467">
        <f t="shared" si="45"/>
        <v>0.14736459328205312</v>
      </c>
      <c r="K125" s="467">
        <f t="shared" si="45"/>
        <v>1.6655737125500981E-2</v>
      </c>
      <c r="L125" s="468">
        <f t="shared" si="52"/>
        <v>583.28156094153132</v>
      </c>
      <c r="M125" s="468">
        <f t="shared" si="46"/>
        <v>32218.598295576165</v>
      </c>
      <c r="N125" s="468">
        <f t="shared" si="46"/>
        <v>56632.213198293015</v>
      </c>
      <c r="O125" s="468">
        <f t="shared" si="46"/>
        <v>834.4524299875992</v>
      </c>
      <c r="P125" s="468">
        <f t="shared" si="53"/>
        <v>1069.4146312080002</v>
      </c>
      <c r="Q125" s="468">
        <f t="shared" si="54"/>
        <v>91337.960116006303</v>
      </c>
      <c r="R125" s="469">
        <f t="shared" si="55"/>
        <v>35422.435692340026</v>
      </c>
      <c r="W125" s="470">
        <f t="shared" si="56"/>
        <v>226.20664570062334</v>
      </c>
      <c r="X125" s="470">
        <f t="shared" si="47"/>
        <v>12494.927900435834</v>
      </c>
      <c r="Y125" s="470">
        <f t="shared" si="48"/>
        <v>21962.948675266929</v>
      </c>
      <c r="Z125" s="470">
        <f t="shared" si="49"/>
        <v>323.61503915799318</v>
      </c>
    </row>
    <row r="126" spans="1:26" ht="15" customHeight="1" x14ac:dyDescent="0.3">
      <c r="A126" s="463">
        <f t="shared" si="58"/>
        <v>15</v>
      </c>
      <c r="B126" s="463">
        <f t="shared" si="57"/>
        <v>2033</v>
      </c>
      <c r="C126" s="479">
        <v>3357.2</v>
      </c>
      <c r="D126" s="480">
        <v>1002.8000000000001</v>
      </c>
      <c r="E126" s="471">
        <v>2.2000000000000002</v>
      </c>
      <c r="F126" s="466">
        <f t="shared" si="50"/>
        <v>2695831.6</v>
      </c>
      <c r="G126" s="466">
        <f t="shared" si="51"/>
        <v>805248.40000000014</v>
      </c>
      <c r="H126" s="467">
        <f t="shared" si="45"/>
        <v>0.27903309257242437</v>
      </c>
      <c r="I126" s="467">
        <f t="shared" si="45"/>
        <v>3.7636129184629752</v>
      </c>
      <c r="J126" s="467">
        <f t="shared" si="45"/>
        <v>0.14804369279026536</v>
      </c>
      <c r="K126" s="467">
        <f t="shared" si="45"/>
        <v>1.6732491674466422E-2</v>
      </c>
      <c r="L126" s="468">
        <f t="shared" si="52"/>
        <v>585.96949440209119</v>
      </c>
      <c r="M126" s="468">
        <f t="shared" si="46"/>
        <v>32367.071098781587</v>
      </c>
      <c r="N126" s="468">
        <f t="shared" si="46"/>
        <v>56893.191139298979</v>
      </c>
      <c r="O126" s="468">
        <f t="shared" si="46"/>
        <v>838.29783289076772</v>
      </c>
      <c r="P126" s="468">
        <f t="shared" si="53"/>
        <v>1074.3428092319998</v>
      </c>
      <c r="Q126" s="468">
        <f t="shared" si="54"/>
        <v>91758.872374605417</v>
      </c>
      <c r="R126" s="469">
        <f t="shared" si="55"/>
        <v>33257.638059047007</v>
      </c>
      <c r="W126" s="470">
        <f t="shared" si="56"/>
        <v>212.3823108778839</v>
      </c>
      <c r="X126" s="470">
        <f t="shared" si="47"/>
        <v>11731.316087234643</v>
      </c>
      <c r="Y126" s="470">
        <f t="shared" si="48"/>
        <v>20620.710673190883</v>
      </c>
      <c r="Z126" s="470">
        <f t="shared" si="49"/>
        <v>303.83771280607476</v>
      </c>
    </row>
    <row r="127" spans="1:26" ht="15" customHeight="1" x14ac:dyDescent="0.3">
      <c r="A127" s="463">
        <f t="shared" si="58"/>
        <v>16</v>
      </c>
      <c r="B127" s="463">
        <f t="shared" si="57"/>
        <v>2034</v>
      </c>
      <c r="C127" s="479">
        <v>3372.6</v>
      </c>
      <c r="D127" s="480">
        <v>1007.4000000000001</v>
      </c>
      <c r="E127" s="471">
        <v>2.2000000000000002</v>
      </c>
      <c r="F127" s="466">
        <f t="shared" si="50"/>
        <v>2708197.8000000003</v>
      </c>
      <c r="G127" s="466">
        <f t="shared" si="51"/>
        <v>808942.20000000007</v>
      </c>
      <c r="H127" s="467">
        <f t="shared" ref="H127:K142" si="59">($F127*H$8+$G127*H$11)/1000000*1.1015</f>
        <v>0.28031306088697683</v>
      </c>
      <c r="I127" s="467">
        <f t="shared" si="59"/>
        <v>3.7808771979054652</v>
      </c>
      <c r="J127" s="467">
        <f t="shared" si="59"/>
        <v>0.14872279229847754</v>
      </c>
      <c r="K127" s="467">
        <f t="shared" si="59"/>
        <v>1.6809246223431863E-2</v>
      </c>
      <c r="L127" s="468">
        <f t="shared" si="52"/>
        <v>588.65742786265139</v>
      </c>
      <c r="M127" s="468">
        <f t="shared" si="52"/>
        <v>32515.543901986999</v>
      </c>
      <c r="N127" s="468">
        <f t="shared" si="52"/>
        <v>57154.16908030492</v>
      </c>
      <c r="O127" s="468">
        <f t="shared" si="52"/>
        <v>842.14323579393636</v>
      </c>
      <c r="P127" s="468">
        <f t="shared" si="53"/>
        <v>1079.2709872560001</v>
      </c>
      <c r="Q127" s="468">
        <f t="shared" si="54"/>
        <v>92179.784633204501</v>
      </c>
      <c r="R127" s="469">
        <f t="shared" si="55"/>
        <v>31224.48227270554</v>
      </c>
      <c r="W127" s="470">
        <f t="shared" si="56"/>
        <v>199.39863706703505</v>
      </c>
      <c r="X127" s="470">
        <f t="shared" si="47"/>
        <v>11014.139685777187</v>
      </c>
      <c r="Y127" s="470">
        <f t="shared" si="48"/>
        <v>19360.094475815837</v>
      </c>
      <c r="Z127" s="470">
        <f t="shared" si="49"/>
        <v>285.26305026378452</v>
      </c>
    </row>
    <row r="128" spans="1:26" ht="15" customHeight="1" x14ac:dyDescent="0.3">
      <c r="A128" s="463">
        <f t="shared" si="58"/>
        <v>17</v>
      </c>
      <c r="B128" s="463">
        <f t="shared" si="57"/>
        <v>2035</v>
      </c>
      <c r="C128" s="479">
        <v>3395.7</v>
      </c>
      <c r="D128" s="480">
        <v>1014.3000000000001</v>
      </c>
      <c r="E128" s="471">
        <v>2.2000000000000002</v>
      </c>
      <c r="F128" s="466">
        <f t="shared" si="50"/>
        <v>2726747.1</v>
      </c>
      <c r="G128" s="466">
        <f t="shared" si="51"/>
        <v>814482.90000000014</v>
      </c>
      <c r="H128" s="467">
        <f t="shared" si="59"/>
        <v>0.28223301335880546</v>
      </c>
      <c r="I128" s="467">
        <f t="shared" si="59"/>
        <v>3.8067736170692013</v>
      </c>
      <c r="J128" s="467">
        <f t="shared" si="59"/>
        <v>0.14974144156079588</v>
      </c>
      <c r="K128" s="467">
        <f t="shared" si="59"/>
        <v>1.6924378046880028E-2</v>
      </c>
      <c r="L128" s="468">
        <f t="shared" ref="L128:O142" si="60">H128*L$7</f>
        <v>592.68932805349152</v>
      </c>
      <c r="M128" s="468">
        <f t="shared" si="60"/>
        <v>32738.253106795131</v>
      </c>
      <c r="N128" s="468">
        <f t="shared" si="60"/>
        <v>57545.635991813855</v>
      </c>
      <c r="O128" s="468">
        <f t="shared" si="60"/>
        <v>847.91134014868942</v>
      </c>
      <c r="P128" s="468">
        <f t="shared" si="53"/>
        <v>1086.6632542920001</v>
      </c>
      <c r="Q128" s="468">
        <f t="shared" si="54"/>
        <v>92811.153021103164</v>
      </c>
      <c r="R128" s="469">
        <f t="shared" si="55"/>
        <v>29381.634195926988</v>
      </c>
      <c r="W128" s="470">
        <f t="shared" si="56"/>
        <v>187.63026276311712</v>
      </c>
      <c r="X128" s="470">
        <f t="shared" si="47"/>
        <v>10364.09252214343</v>
      </c>
      <c r="Y128" s="470">
        <f t="shared" si="48"/>
        <v>18217.47463797803</v>
      </c>
      <c r="Z128" s="470">
        <f t="shared" si="49"/>
        <v>268.42701567517815</v>
      </c>
    </row>
    <row r="129" spans="1:26" ht="15" customHeight="1" x14ac:dyDescent="0.3">
      <c r="A129" s="463">
        <f t="shared" si="58"/>
        <v>18</v>
      </c>
      <c r="B129" s="463">
        <f t="shared" si="57"/>
        <v>2036</v>
      </c>
      <c r="C129" s="479">
        <v>3411.1</v>
      </c>
      <c r="D129" s="480">
        <v>1018.9000000000001</v>
      </c>
      <c r="E129" s="471">
        <v>2.2000000000000002</v>
      </c>
      <c r="F129" s="466">
        <f t="shared" si="50"/>
        <v>2739113.3</v>
      </c>
      <c r="G129" s="466">
        <f t="shared" si="51"/>
        <v>818176.70000000019</v>
      </c>
      <c r="H129" s="467">
        <f t="shared" si="59"/>
        <v>0.28351298167335787</v>
      </c>
      <c r="I129" s="467">
        <f t="shared" si="59"/>
        <v>3.8240378965116926</v>
      </c>
      <c r="J129" s="467">
        <f t="shared" si="59"/>
        <v>0.15042054106900815</v>
      </c>
      <c r="K129" s="467">
        <f t="shared" si="59"/>
        <v>1.7001132595845472E-2</v>
      </c>
      <c r="L129" s="468">
        <f t="shared" si="60"/>
        <v>595.3772615140515</v>
      </c>
      <c r="M129" s="468">
        <f t="shared" si="60"/>
        <v>32886.725910000554</v>
      </c>
      <c r="N129" s="468">
        <f t="shared" si="60"/>
        <v>57806.613932819833</v>
      </c>
      <c r="O129" s="468">
        <f t="shared" si="60"/>
        <v>851.75674305185817</v>
      </c>
      <c r="P129" s="468">
        <f t="shared" si="53"/>
        <v>1091.591432316</v>
      </c>
      <c r="Q129" s="468">
        <f t="shared" si="54"/>
        <v>93232.065279702292</v>
      </c>
      <c r="R129" s="469">
        <f t="shared" si="55"/>
        <v>27584.003960403625</v>
      </c>
      <c r="W129" s="470">
        <f t="shared" si="56"/>
        <v>176.15064828037566</v>
      </c>
      <c r="X129" s="470">
        <f t="shared" si="47"/>
        <v>9729.9955227277424</v>
      </c>
      <c r="Y129" s="470">
        <f t="shared" si="48"/>
        <v>17102.891187454745</v>
      </c>
      <c r="Z129" s="470">
        <f t="shared" si="49"/>
        <v>252.00408575265203</v>
      </c>
    </row>
    <row r="130" spans="1:26" ht="15" customHeight="1" x14ac:dyDescent="0.3">
      <c r="A130" s="463">
        <f t="shared" si="58"/>
        <v>19</v>
      </c>
      <c r="B130" s="463">
        <f t="shared" si="57"/>
        <v>2037</v>
      </c>
      <c r="C130" s="479">
        <v>3426.5</v>
      </c>
      <c r="D130" s="480">
        <v>1023.5</v>
      </c>
      <c r="E130" s="471">
        <v>2.2000000000000002</v>
      </c>
      <c r="F130" s="466">
        <f t="shared" si="50"/>
        <v>2751479.5</v>
      </c>
      <c r="G130" s="466">
        <f t="shared" si="51"/>
        <v>821870.50000000012</v>
      </c>
      <c r="H130" s="467">
        <f t="shared" si="59"/>
        <v>0.28479294998791022</v>
      </c>
      <c r="I130" s="467">
        <f t="shared" si="59"/>
        <v>3.841302175954183</v>
      </c>
      <c r="J130" s="467">
        <f t="shared" si="59"/>
        <v>0.15109964057722033</v>
      </c>
      <c r="K130" s="467">
        <f t="shared" si="59"/>
        <v>1.7077887144810913E-2</v>
      </c>
      <c r="L130" s="468">
        <f t="shared" si="60"/>
        <v>598.06519497461147</v>
      </c>
      <c r="M130" s="468">
        <f t="shared" si="60"/>
        <v>33035.198713205973</v>
      </c>
      <c r="N130" s="468">
        <f t="shared" si="60"/>
        <v>58067.591873825775</v>
      </c>
      <c r="O130" s="468">
        <f t="shared" si="60"/>
        <v>855.6021459550268</v>
      </c>
      <c r="P130" s="468">
        <f t="shared" si="53"/>
        <v>1096.5196103399999</v>
      </c>
      <c r="Q130" s="468">
        <f t="shared" si="54"/>
        <v>93652.977538301377</v>
      </c>
      <c r="R130" s="469">
        <f t="shared" si="55"/>
        <v>25895.828700617309</v>
      </c>
      <c r="W130" s="470">
        <f t="shared" si="56"/>
        <v>165.37001009423253</v>
      </c>
      <c r="X130" s="470">
        <f t="shared" si="47"/>
        <v>9134.5077268704135</v>
      </c>
      <c r="Y130" s="470">
        <f t="shared" si="48"/>
        <v>16056.173030985334</v>
      </c>
      <c r="Z130" s="470">
        <f t="shared" si="49"/>
        <v>236.58112309852143</v>
      </c>
    </row>
    <row r="131" spans="1:26" ht="15" customHeight="1" x14ac:dyDescent="0.3">
      <c r="A131" s="463">
        <f t="shared" si="58"/>
        <v>20</v>
      </c>
      <c r="B131" s="463">
        <f t="shared" si="57"/>
        <v>2038</v>
      </c>
      <c r="C131" s="479">
        <v>3441.8999999999996</v>
      </c>
      <c r="D131" s="480">
        <v>1028.1000000000001</v>
      </c>
      <c r="E131" s="471">
        <v>2.2000000000000002</v>
      </c>
      <c r="F131" s="466">
        <f t="shared" si="50"/>
        <v>2763845.6999999997</v>
      </c>
      <c r="G131" s="466">
        <f t="shared" si="51"/>
        <v>825564.30000000028</v>
      </c>
      <c r="H131" s="467">
        <f t="shared" si="59"/>
        <v>0.28607291830246268</v>
      </c>
      <c r="I131" s="467">
        <f t="shared" si="59"/>
        <v>3.8585664553966743</v>
      </c>
      <c r="J131" s="467">
        <f t="shared" si="59"/>
        <v>0.1517787400854326</v>
      </c>
      <c r="K131" s="467">
        <f t="shared" si="59"/>
        <v>1.7154641693776358E-2</v>
      </c>
      <c r="L131" s="468">
        <f t="shared" si="60"/>
        <v>600.75312843517167</v>
      </c>
      <c r="M131" s="468">
        <f t="shared" si="60"/>
        <v>33183.671516411399</v>
      </c>
      <c r="N131" s="468">
        <f t="shared" si="60"/>
        <v>58328.569814831746</v>
      </c>
      <c r="O131" s="468">
        <f t="shared" si="60"/>
        <v>859.44754885819555</v>
      </c>
      <c r="P131" s="468">
        <f t="shared" si="53"/>
        <v>1101.4477883639997</v>
      </c>
      <c r="Q131" s="468">
        <f t="shared" si="54"/>
        <v>94073.889796900519</v>
      </c>
      <c r="R131" s="469">
        <f t="shared" si="55"/>
        <v>24310.480792136808</v>
      </c>
      <c r="W131" s="470">
        <f t="shared" si="56"/>
        <v>155.24602438752905</v>
      </c>
      <c r="X131" s="470">
        <f t="shared" si="47"/>
        <v>8575.2913029740121</v>
      </c>
      <c r="Y131" s="470">
        <f t="shared" si="48"/>
        <v>15073.210847107943</v>
      </c>
      <c r="Z131" s="470">
        <f t="shared" si="49"/>
        <v>222.0975785467586</v>
      </c>
    </row>
    <row r="132" spans="1:26" ht="15" customHeight="1" x14ac:dyDescent="0.3">
      <c r="A132" s="463">
        <f t="shared" si="58"/>
        <v>21</v>
      </c>
      <c r="B132" s="463">
        <f t="shared" si="57"/>
        <v>2039</v>
      </c>
      <c r="C132" s="479">
        <v>3457.3</v>
      </c>
      <c r="D132" s="480">
        <v>1032.7</v>
      </c>
      <c r="E132" s="471">
        <v>2.2000000000000002</v>
      </c>
      <c r="F132" s="466">
        <f t="shared" si="50"/>
        <v>2776211.9000000004</v>
      </c>
      <c r="G132" s="466">
        <f t="shared" si="51"/>
        <v>829258.10000000021</v>
      </c>
      <c r="H132" s="467">
        <f t="shared" si="59"/>
        <v>0.28735288661701508</v>
      </c>
      <c r="I132" s="467">
        <f t="shared" si="59"/>
        <v>3.8758307348391647</v>
      </c>
      <c r="J132" s="467">
        <f t="shared" si="59"/>
        <v>0.15245783959364481</v>
      </c>
      <c r="K132" s="467">
        <f t="shared" si="59"/>
        <v>1.7231396242741798E-2</v>
      </c>
      <c r="L132" s="468">
        <f t="shared" si="60"/>
        <v>603.44106189573165</v>
      </c>
      <c r="M132" s="468">
        <f t="shared" si="60"/>
        <v>33332.144319616818</v>
      </c>
      <c r="N132" s="468">
        <f t="shared" si="60"/>
        <v>58589.547755837702</v>
      </c>
      <c r="O132" s="468">
        <f t="shared" si="60"/>
        <v>863.29295176136407</v>
      </c>
      <c r="P132" s="468">
        <f t="shared" si="53"/>
        <v>1106.3759663880001</v>
      </c>
      <c r="Q132" s="468">
        <f t="shared" si="54"/>
        <v>94494.802055499633</v>
      </c>
      <c r="R132" s="469">
        <f t="shared" si="55"/>
        <v>22821.731325491706</v>
      </c>
      <c r="W132" s="470">
        <f t="shared" si="56"/>
        <v>145.7389135252682</v>
      </c>
      <c r="X132" s="470">
        <f t="shared" si="47"/>
        <v>8050.1490623582577</v>
      </c>
      <c r="Y132" s="470">
        <f t="shared" si="48"/>
        <v>14150.142529326278</v>
      </c>
      <c r="Z132" s="470">
        <f t="shared" si="49"/>
        <v>208.49654554244199</v>
      </c>
    </row>
    <row r="133" spans="1:26" ht="15" customHeight="1" x14ac:dyDescent="0.3">
      <c r="A133" s="463">
        <f t="shared" si="58"/>
        <v>22</v>
      </c>
      <c r="B133" s="463">
        <f t="shared" si="57"/>
        <v>2040</v>
      </c>
      <c r="C133" s="479">
        <v>3472.7</v>
      </c>
      <c r="D133" s="480">
        <v>1037.3</v>
      </c>
      <c r="E133" s="471">
        <v>2.2000000000000002</v>
      </c>
      <c r="F133" s="466">
        <f t="shared" si="50"/>
        <v>2788578.1</v>
      </c>
      <c r="G133" s="466">
        <f t="shared" si="51"/>
        <v>832951.9</v>
      </c>
      <c r="H133" s="467">
        <f t="shared" si="59"/>
        <v>0.28863285493156743</v>
      </c>
      <c r="I133" s="467">
        <f t="shared" si="59"/>
        <v>3.8930950142816547</v>
      </c>
      <c r="J133" s="467">
        <f t="shared" si="59"/>
        <v>0.15313693910185699</v>
      </c>
      <c r="K133" s="467">
        <f t="shared" si="59"/>
        <v>1.7308150791707239E-2</v>
      </c>
      <c r="L133" s="468">
        <f t="shared" si="60"/>
        <v>606.12899535629163</v>
      </c>
      <c r="M133" s="468">
        <f t="shared" si="60"/>
        <v>33480.61712282223</v>
      </c>
      <c r="N133" s="468">
        <f t="shared" si="60"/>
        <v>58850.525696843644</v>
      </c>
      <c r="O133" s="468">
        <f t="shared" si="60"/>
        <v>867.1383546645327</v>
      </c>
      <c r="P133" s="468">
        <f t="shared" si="53"/>
        <v>1111.3041444119999</v>
      </c>
      <c r="Q133" s="468">
        <f t="shared" si="54"/>
        <v>94915.714314098703</v>
      </c>
      <c r="R133" s="469">
        <f t="shared" si="55"/>
        <v>21423.726303096715</v>
      </c>
      <c r="W133" s="470">
        <f t="shared" si="56"/>
        <v>136.81129404886445</v>
      </c>
      <c r="X133" s="470">
        <f t="shared" si="47"/>
        <v>7557.016062951051</v>
      </c>
      <c r="Y133" s="470">
        <f t="shared" si="48"/>
        <v>13283.338427504837</v>
      </c>
      <c r="Z133" s="470">
        <f t="shared" si="49"/>
        <v>195.72454267976883</v>
      </c>
    </row>
    <row r="134" spans="1:26" ht="15" customHeight="1" x14ac:dyDescent="0.3">
      <c r="A134" s="463">
        <f t="shared" si="58"/>
        <v>23</v>
      </c>
      <c r="B134" s="463">
        <f t="shared" si="57"/>
        <v>2041</v>
      </c>
      <c r="C134" s="479">
        <v>3488.1</v>
      </c>
      <c r="D134" s="480">
        <v>1041.9000000000001</v>
      </c>
      <c r="E134" s="471">
        <v>2.2000000000000002</v>
      </c>
      <c r="F134" s="466">
        <f t="shared" si="50"/>
        <v>2800944.3000000003</v>
      </c>
      <c r="G134" s="466">
        <f t="shared" si="51"/>
        <v>836645.70000000007</v>
      </c>
      <c r="H134" s="467">
        <f t="shared" si="59"/>
        <v>0.28991282324611983</v>
      </c>
      <c r="I134" s="467">
        <f t="shared" si="59"/>
        <v>3.9103592937241451</v>
      </c>
      <c r="J134" s="467">
        <f t="shared" si="59"/>
        <v>0.15381603861006921</v>
      </c>
      <c r="K134" s="467">
        <f t="shared" si="59"/>
        <v>1.7384905340672684E-2</v>
      </c>
      <c r="L134" s="468">
        <f t="shared" si="60"/>
        <v>608.8169288168516</v>
      </c>
      <c r="M134" s="468">
        <f t="shared" si="60"/>
        <v>33629.089926027649</v>
      </c>
      <c r="N134" s="468">
        <f t="shared" si="60"/>
        <v>59111.503637849593</v>
      </c>
      <c r="O134" s="468">
        <f t="shared" si="60"/>
        <v>870.98375756770145</v>
      </c>
      <c r="P134" s="468">
        <f t="shared" si="53"/>
        <v>1116.232322436</v>
      </c>
      <c r="Q134" s="468">
        <f t="shared" si="54"/>
        <v>95336.626572697802</v>
      </c>
      <c r="R134" s="469">
        <f t="shared" si="55"/>
        <v>20110.964244156934</v>
      </c>
      <c r="W134" s="470">
        <f t="shared" si="56"/>
        <v>128.4280336617187</v>
      </c>
      <c r="X134" s="470">
        <f t="shared" si="47"/>
        <v>7093.9517096314021</v>
      </c>
      <c r="Y134" s="470">
        <f t="shared" si="48"/>
        <v>12469.38746225354</v>
      </c>
      <c r="Z134" s="470">
        <f t="shared" si="49"/>
        <v>183.73130910320842</v>
      </c>
    </row>
    <row r="135" spans="1:26" ht="15" customHeight="1" x14ac:dyDescent="0.3">
      <c r="A135" s="463">
        <f t="shared" si="58"/>
        <v>24</v>
      </c>
      <c r="B135" s="463">
        <f t="shared" si="57"/>
        <v>2042</v>
      </c>
      <c r="C135" s="479">
        <v>3503.5</v>
      </c>
      <c r="D135" s="480">
        <v>1046.5</v>
      </c>
      <c r="E135" s="471">
        <v>2.2000000000000002</v>
      </c>
      <c r="F135" s="466">
        <f t="shared" si="50"/>
        <v>2813310.5000000005</v>
      </c>
      <c r="G135" s="466">
        <f t="shared" si="51"/>
        <v>840339.50000000012</v>
      </c>
      <c r="H135" s="467">
        <f t="shared" si="59"/>
        <v>0.29119279156067229</v>
      </c>
      <c r="I135" s="467">
        <f t="shared" si="59"/>
        <v>3.9276235731666365</v>
      </c>
      <c r="J135" s="467">
        <f t="shared" si="59"/>
        <v>0.15449513811828147</v>
      </c>
      <c r="K135" s="467">
        <f t="shared" si="59"/>
        <v>1.7461659889638124E-2</v>
      </c>
      <c r="L135" s="468">
        <f t="shared" si="60"/>
        <v>611.5048622774118</v>
      </c>
      <c r="M135" s="468">
        <f t="shared" si="60"/>
        <v>33777.562729233076</v>
      </c>
      <c r="N135" s="468">
        <f t="shared" si="60"/>
        <v>59372.481578855572</v>
      </c>
      <c r="O135" s="468">
        <f t="shared" si="60"/>
        <v>874.82916047087008</v>
      </c>
      <c r="P135" s="468">
        <f t="shared" si="53"/>
        <v>1121.1605004600001</v>
      </c>
      <c r="Q135" s="468">
        <f t="shared" si="54"/>
        <v>95757.538831296915</v>
      </c>
      <c r="R135" s="469">
        <f t="shared" si="55"/>
        <v>18878.275115205801</v>
      </c>
      <c r="W135" s="470">
        <f t="shared" si="56"/>
        <v>120.55611668024596</v>
      </c>
      <c r="X135" s="470">
        <f t="shared" si="47"/>
        <v>6659.1323221767416</v>
      </c>
      <c r="Y135" s="470">
        <f t="shared" si="48"/>
        <v>11705.084061243551</v>
      </c>
      <c r="Z135" s="470">
        <f t="shared" si="49"/>
        <v>172.46961201947519</v>
      </c>
    </row>
    <row r="136" spans="1:26" ht="15" customHeight="1" x14ac:dyDescent="0.3">
      <c r="A136" s="463">
        <f t="shared" si="58"/>
        <v>25</v>
      </c>
      <c r="B136" s="463">
        <f t="shared" si="57"/>
        <v>2043</v>
      </c>
      <c r="C136" s="479">
        <v>3518.8999999999996</v>
      </c>
      <c r="D136" s="480">
        <v>1051.1000000000001</v>
      </c>
      <c r="E136" s="471">
        <v>2.2000000000000002</v>
      </c>
      <c r="F136" s="466">
        <f t="shared" si="50"/>
        <v>2825676.7</v>
      </c>
      <c r="G136" s="466">
        <f t="shared" si="51"/>
        <v>844033.30000000016</v>
      </c>
      <c r="H136" s="467">
        <f t="shared" si="59"/>
        <v>0.29247275987522464</v>
      </c>
      <c r="I136" s="467">
        <f t="shared" si="59"/>
        <v>3.9448878526091273</v>
      </c>
      <c r="J136" s="467">
        <f t="shared" si="59"/>
        <v>0.15517423762649374</v>
      </c>
      <c r="K136" s="467">
        <f t="shared" si="59"/>
        <v>1.7538414438603569E-2</v>
      </c>
      <c r="L136" s="468">
        <f t="shared" si="60"/>
        <v>614.19279573797178</v>
      </c>
      <c r="M136" s="468">
        <f t="shared" si="60"/>
        <v>33926.035532438495</v>
      </c>
      <c r="N136" s="468">
        <f t="shared" si="60"/>
        <v>59633.459519861543</v>
      </c>
      <c r="O136" s="468">
        <f t="shared" si="60"/>
        <v>878.67456337403883</v>
      </c>
      <c r="P136" s="468">
        <f t="shared" si="53"/>
        <v>1126.088678484</v>
      </c>
      <c r="Q136" s="468">
        <f t="shared" si="54"/>
        <v>96178.451089896043</v>
      </c>
      <c r="R136" s="469">
        <f t="shared" si="55"/>
        <v>17720.800508676293</v>
      </c>
      <c r="W136" s="470">
        <f t="shared" si="56"/>
        <v>113.16451745480619</v>
      </c>
      <c r="X136" s="470">
        <f t="shared" si="47"/>
        <v>6250.8441434420674</v>
      </c>
      <c r="Y136" s="470">
        <f t="shared" si="48"/>
        <v>10987.415869340257</v>
      </c>
      <c r="Z136" s="470">
        <f t="shared" si="49"/>
        <v>161.89506561137964</v>
      </c>
    </row>
    <row r="137" spans="1:26" ht="15" customHeight="1" x14ac:dyDescent="0.3">
      <c r="A137" s="463">
        <f t="shared" si="58"/>
        <v>26</v>
      </c>
      <c r="B137" s="463">
        <f t="shared" si="57"/>
        <v>2044</v>
      </c>
      <c r="C137" s="479">
        <v>3534.3</v>
      </c>
      <c r="D137" s="480">
        <v>1055.7</v>
      </c>
      <c r="E137" s="471">
        <v>2.2000000000000002</v>
      </c>
      <c r="F137" s="466">
        <f t="shared" si="50"/>
        <v>2838042.9000000004</v>
      </c>
      <c r="G137" s="466">
        <f t="shared" si="51"/>
        <v>847727.10000000021</v>
      </c>
      <c r="H137" s="467">
        <f t="shared" si="59"/>
        <v>0.29375272818977716</v>
      </c>
      <c r="I137" s="467">
        <f t="shared" si="59"/>
        <v>3.9621521320516182</v>
      </c>
      <c r="J137" s="467">
        <f t="shared" si="59"/>
        <v>0.15585333713470592</v>
      </c>
      <c r="K137" s="467">
        <f t="shared" si="59"/>
        <v>1.761516898756901E-2</v>
      </c>
      <c r="L137" s="468">
        <f t="shared" si="60"/>
        <v>616.88072919853198</v>
      </c>
      <c r="M137" s="468">
        <f t="shared" si="60"/>
        <v>34074.508335643914</v>
      </c>
      <c r="N137" s="468">
        <f t="shared" si="60"/>
        <v>59894.437460867484</v>
      </c>
      <c r="O137" s="468">
        <f t="shared" si="60"/>
        <v>882.51996627720735</v>
      </c>
      <c r="P137" s="468">
        <f t="shared" si="53"/>
        <v>1131.016856508</v>
      </c>
      <c r="Q137" s="468">
        <f t="shared" si="54"/>
        <v>96599.363348495128</v>
      </c>
      <c r="R137" s="469">
        <f t="shared" si="55"/>
        <v>16633.974996385237</v>
      </c>
      <c r="W137" s="470">
        <f t="shared" si="56"/>
        <v>106.22408129359712</v>
      </c>
      <c r="X137" s="470">
        <f t="shared" si="47"/>
        <v>5867.4767619785871</v>
      </c>
      <c r="Y137" s="470">
        <f t="shared" si="48"/>
        <v>10313.55218721687</v>
      </c>
      <c r="Z137" s="470">
        <f t="shared" si="49"/>
        <v>151.96596068554211</v>
      </c>
    </row>
    <row r="138" spans="1:26" ht="15" customHeight="1" x14ac:dyDescent="0.3">
      <c r="A138" s="463">
        <f t="shared" si="58"/>
        <v>27</v>
      </c>
      <c r="B138" s="463">
        <f t="shared" si="57"/>
        <v>2045</v>
      </c>
      <c r="C138" s="479">
        <v>3549.7</v>
      </c>
      <c r="D138" s="480">
        <v>1060.3</v>
      </c>
      <c r="E138" s="471">
        <v>2.2000000000000002</v>
      </c>
      <c r="F138" s="466">
        <f t="shared" si="50"/>
        <v>2850409.1</v>
      </c>
      <c r="G138" s="466">
        <f t="shared" si="51"/>
        <v>851420.90000000014</v>
      </c>
      <c r="H138" s="467">
        <f t="shared" si="59"/>
        <v>0.29503269650432951</v>
      </c>
      <c r="I138" s="467">
        <f t="shared" si="59"/>
        <v>3.9794164114941082</v>
      </c>
      <c r="J138" s="467">
        <f t="shared" si="59"/>
        <v>0.15653243664291816</v>
      </c>
      <c r="K138" s="467">
        <f t="shared" si="59"/>
        <v>1.7691923536534451E-2</v>
      </c>
      <c r="L138" s="468">
        <f t="shared" si="60"/>
        <v>619.56866265909196</v>
      </c>
      <c r="M138" s="468">
        <f t="shared" si="60"/>
        <v>34222.981138849333</v>
      </c>
      <c r="N138" s="468">
        <f t="shared" si="60"/>
        <v>60155.415401873448</v>
      </c>
      <c r="O138" s="468">
        <f t="shared" si="60"/>
        <v>886.36536918037598</v>
      </c>
      <c r="P138" s="468">
        <f t="shared" si="53"/>
        <v>1135.9450345320001</v>
      </c>
      <c r="Q138" s="468">
        <f t="shared" si="54"/>
        <v>97020.275607094256</v>
      </c>
      <c r="R138" s="469">
        <f t="shared" si="55"/>
        <v>15613.508589036699</v>
      </c>
      <c r="W138" s="470">
        <f t="shared" si="56"/>
        <v>99.707412449551569</v>
      </c>
      <c r="X138" s="470">
        <f t="shared" si="47"/>
        <v>5507.5169247900312</v>
      </c>
      <c r="Y138" s="470">
        <f t="shared" si="48"/>
        <v>9680.8330957322432</v>
      </c>
      <c r="Z138" s="470">
        <f t="shared" si="49"/>
        <v>142.64310442456153</v>
      </c>
    </row>
    <row r="139" spans="1:26" ht="15" customHeight="1" x14ac:dyDescent="0.3">
      <c r="A139" s="463">
        <f t="shared" si="58"/>
        <v>28</v>
      </c>
      <c r="B139" s="463">
        <f t="shared" si="57"/>
        <v>2046</v>
      </c>
      <c r="C139" s="479">
        <v>3565.1</v>
      </c>
      <c r="D139" s="480">
        <v>1064.9000000000001</v>
      </c>
      <c r="E139" s="471">
        <v>2.2000000000000002</v>
      </c>
      <c r="F139" s="466">
        <f t="shared" si="50"/>
        <v>2862775.3000000003</v>
      </c>
      <c r="G139" s="466">
        <f t="shared" si="51"/>
        <v>855114.70000000007</v>
      </c>
      <c r="H139" s="467">
        <f t="shared" si="59"/>
        <v>0.29631266481888185</v>
      </c>
      <c r="I139" s="467">
        <f t="shared" si="59"/>
        <v>3.9966806909365995</v>
      </c>
      <c r="J139" s="467">
        <f t="shared" si="59"/>
        <v>0.15721153615113037</v>
      </c>
      <c r="K139" s="467">
        <f t="shared" si="59"/>
        <v>1.7768678085499895E-2</v>
      </c>
      <c r="L139" s="468">
        <f t="shared" si="60"/>
        <v>622.25659611965193</v>
      </c>
      <c r="M139" s="468">
        <f t="shared" si="60"/>
        <v>34371.453942054759</v>
      </c>
      <c r="N139" s="468">
        <f t="shared" si="60"/>
        <v>60416.393342879404</v>
      </c>
      <c r="O139" s="468">
        <f t="shared" si="60"/>
        <v>890.21077208354473</v>
      </c>
      <c r="P139" s="468">
        <f t="shared" si="53"/>
        <v>1140.873212556</v>
      </c>
      <c r="Q139" s="468">
        <f t="shared" si="54"/>
        <v>97441.18786569337</v>
      </c>
      <c r="R139" s="469">
        <f t="shared" si="55"/>
        <v>14655.370236835797</v>
      </c>
      <c r="W139" s="470">
        <f t="shared" si="56"/>
        <v>93.588768755736979</v>
      </c>
      <c r="X139" s="470">
        <f t="shared" si="47"/>
        <v>5169.5427173308435</v>
      </c>
      <c r="Y139" s="470">
        <f t="shared" si="48"/>
        <v>9086.7592258276982</v>
      </c>
      <c r="Z139" s="470">
        <f t="shared" si="49"/>
        <v>133.88966965064165</v>
      </c>
    </row>
    <row r="140" spans="1:26" ht="15" customHeight="1" x14ac:dyDescent="0.3">
      <c r="A140" s="463">
        <f t="shared" si="58"/>
        <v>29</v>
      </c>
      <c r="B140" s="463">
        <f t="shared" si="57"/>
        <v>2047</v>
      </c>
      <c r="C140" s="479">
        <v>3580.5</v>
      </c>
      <c r="D140" s="480">
        <v>1069.5</v>
      </c>
      <c r="E140" s="471">
        <v>2.2000000000000002</v>
      </c>
      <c r="F140" s="466">
        <f t="shared" si="50"/>
        <v>2875141.5</v>
      </c>
      <c r="G140" s="466">
        <f t="shared" si="51"/>
        <v>858808.5</v>
      </c>
      <c r="H140" s="467">
        <f t="shared" si="59"/>
        <v>0.29759263313343426</v>
      </c>
      <c r="I140" s="467">
        <f t="shared" si="59"/>
        <v>4.0139449703790895</v>
      </c>
      <c r="J140" s="467">
        <f t="shared" si="59"/>
        <v>0.15789063565934261</v>
      </c>
      <c r="K140" s="467">
        <f t="shared" si="59"/>
        <v>1.7845432634465336E-2</v>
      </c>
      <c r="L140" s="468">
        <f t="shared" si="60"/>
        <v>624.94452958021191</v>
      </c>
      <c r="M140" s="468">
        <f t="shared" si="60"/>
        <v>34519.926745260171</v>
      </c>
      <c r="N140" s="468">
        <f t="shared" si="60"/>
        <v>60677.371283885368</v>
      </c>
      <c r="O140" s="468">
        <f t="shared" si="60"/>
        <v>894.05617498671336</v>
      </c>
      <c r="P140" s="468">
        <f t="shared" si="53"/>
        <v>1145.8013905799999</v>
      </c>
      <c r="Q140" s="468">
        <f t="shared" si="54"/>
        <v>97862.100124292483</v>
      </c>
      <c r="R140" s="469">
        <f t="shared" si="55"/>
        <v>13755.772310063676</v>
      </c>
      <c r="W140" s="470">
        <f t="shared" si="56"/>
        <v>87.843962518757564</v>
      </c>
      <c r="X140" s="470">
        <f t="shared" si="47"/>
        <v>4852.2180891763219</v>
      </c>
      <c r="Y140" s="470">
        <f t="shared" si="48"/>
        <v>8528.9821360285023</v>
      </c>
      <c r="Z140" s="470">
        <f t="shared" si="49"/>
        <v>125.67105304202249</v>
      </c>
    </row>
    <row r="141" spans="1:26" ht="15" customHeight="1" x14ac:dyDescent="0.3">
      <c r="A141" s="463">
        <f t="shared" si="58"/>
        <v>30</v>
      </c>
      <c r="B141" s="463">
        <f t="shared" si="57"/>
        <v>2048</v>
      </c>
      <c r="C141" s="479">
        <v>3595.8999999999996</v>
      </c>
      <c r="D141" s="480">
        <v>1074.1000000000001</v>
      </c>
      <c r="E141" s="471">
        <v>2.2000000000000002</v>
      </c>
      <c r="F141" s="466">
        <f t="shared" si="50"/>
        <v>2887507.6999999997</v>
      </c>
      <c r="G141" s="466">
        <f t="shared" si="51"/>
        <v>862502.30000000016</v>
      </c>
      <c r="H141" s="467">
        <f t="shared" si="59"/>
        <v>0.29887260144798672</v>
      </c>
      <c r="I141" s="467">
        <f t="shared" si="59"/>
        <v>4.0312092498215808</v>
      </c>
      <c r="J141" s="467">
        <f t="shared" si="59"/>
        <v>0.15856973516755482</v>
      </c>
      <c r="K141" s="467">
        <f t="shared" si="59"/>
        <v>1.792218718343078E-2</v>
      </c>
      <c r="L141" s="468">
        <f t="shared" si="60"/>
        <v>627.63246304077211</v>
      </c>
      <c r="M141" s="468">
        <f t="shared" si="60"/>
        <v>34668.399548465597</v>
      </c>
      <c r="N141" s="468">
        <f t="shared" si="60"/>
        <v>60938.349224891317</v>
      </c>
      <c r="O141" s="468">
        <f t="shared" si="60"/>
        <v>897.90157788988211</v>
      </c>
      <c r="P141" s="468">
        <f t="shared" si="53"/>
        <v>1150.729568604</v>
      </c>
      <c r="Q141" s="468">
        <f t="shared" si="54"/>
        <v>98283.012382891568</v>
      </c>
      <c r="R141" s="469">
        <f t="shared" si="55"/>
        <v>12911.156002009317</v>
      </c>
      <c r="W141" s="470">
        <f t="shared" si="56"/>
        <v>82.450267302300873</v>
      </c>
      <c r="X141" s="470">
        <f t="shared" si="47"/>
        <v>4554.2877050454081</v>
      </c>
      <c r="Y141" s="470">
        <f t="shared" si="48"/>
        <v>8005.2952618336049</v>
      </c>
      <c r="Z141" s="470">
        <f t="shared" si="49"/>
        <v>117.95474177595119</v>
      </c>
    </row>
    <row r="142" spans="1:26" ht="15" customHeight="1" x14ac:dyDescent="0.3">
      <c r="A142" s="463">
        <f t="shared" si="58"/>
        <v>31</v>
      </c>
      <c r="B142" s="463">
        <f t="shared" si="57"/>
        <v>2049</v>
      </c>
      <c r="C142" s="481">
        <v>3595.8999999999996</v>
      </c>
      <c r="D142" s="482">
        <v>1074.1000000000001</v>
      </c>
      <c r="E142" s="471">
        <v>2.2000000000000002</v>
      </c>
      <c r="F142" s="466">
        <f t="shared" si="50"/>
        <v>2887507.6999999997</v>
      </c>
      <c r="G142" s="466">
        <f t="shared" si="51"/>
        <v>862502.30000000016</v>
      </c>
      <c r="H142" s="467">
        <f t="shared" si="59"/>
        <v>0.29887260144798672</v>
      </c>
      <c r="I142" s="467">
        <f t="shared" si="59"/>
        <v>4.0312092498215808</v>
      </c>
      <c r="J142" s="467">
        <f t="shared" si="59"/>
        <v>0.15856973516755482</v>
      </c>
      <c r="K142" s="467">
        <f t="shared" si="59"/>
        <v>1.792218718343078E-2</v>
      </c>
      <c r="L142" s="468">
        <f t="shared" si="60"/>
        <v>627.63246304077211</v>
      </c>
      <c r="M142" s="468">
        <f t="shared" si="60"/>
        <v>34668.399548465597</v>
      </c>
      <c r="N142" s="468">
        <f t="shared" si="60"/>
        <v>60938.349224891317</v>
      </c>
      <c r="O142" s="468">
        <f t="shared" si="60"/>
        <v>897.90157788988211</v>
      </c>
      <c r="P142" s="468">
        <f t="shared" si="53"/>
        <v>1150.729568604</v>
      </c>
      <c r="Q142" s="468">
        <f t="shared" si="54"/>
        <v>98283.012382891568</v>
      </c>
      <c r="R142" s="469">
        <f t="shared" si="55"/>
        <v>12066.500936457303</v>
      </c>
      <c r="W142" s="470">
        <f t="shared" si="56"/>
        <v>77.056324581589578</v>
      </c>
      <c r="X142" s="470">
        <f t="shared" si="47"/>
        <v>4256.3436495751475</v>
      </c>
      <c r="Y142" s="470">
        <f t="shared" si="48"/>
        <v>7481.5843568538348</v>
      </c>
      <c r="Z142" s="470">
        <f t="shared" si="49"/>
        <v>110.23807642612259</v>
      </c>
    </row>
    <row r="143" spans="1:26" ht="15" customHeight="1" x14ac:dyDescent="0.3">
      <c r="A143" s="307" t="s">
        <v>40</v>
      </c>
      <c r="B143" s="308"/>
      <c r="C143" s="308"/>
      <c r="D143" s="308"/>
      <c r="E143" s="308"/>
      <c r="F143" s="308"/>
      <c r="G143" s="308"/>
      <c r="H143" s="308"/>
      <c r="I143" s="308"/>
      <c r="J143" s="308"/>
      <c r="K143" s="308"/>
      <c r="L143" s="308"/>
      <c r="M143" s="308"/>
      <c r="N143" s="308"/>
      <c r="O143" s="308"/>
      <c r="P143" s="308"/>
      <c r="Q143" s="308"/>
      <c r="R143" s="309">
        <f>SUM(R111:R140)</f>
        <v>690241.69410654076</v>
      </c>
      <c r="W143" s="475">
        <f>SUM(W111:W140)</f>
        <v>4407.863414664067</v>
      </c>
      <c r="X143" s="475">
        <f>SUM(X111:X140)</f>
        <v>243476.20464735385</v>
      </c>
      <c r="Y143" s="475">
        <f>SUM(Y111:Y140)</f>
        <v>427970.08745701495</v>
      </c>
      <c r="Z143" s="475">
        <f>SUM(Z111:Z140)</f>
        <v>6305.9636781293166</v>
      </c>
    </row>
    <row r="145" spans="1:26" ht="15" customHeight="1" x14ac:dyDescent="0.25">
      <c r="A145" s="581" t="s">
        <v>177</v>
      </c>
      <c r="B145" s="582"/>
      <c r="C145" s="582"/>
      <c r="D145" s="582"/>
      <c r="E145" s="582"/>
      <c r="F145" s="582"/>
      <c r="G145" s="582"/>
      <c r="H145" s="582"/>
      <c r="I145" s="582"/>
      <c r="J145" s="582"/>
      <c r="K145" s="582"/>
      <c r="L145" s="582"/>
      <c r="M145" s="582"/>
      <c r="N145" s="582"/>
      <c r="O145" s="582"/>
      <c r="P145" s="582"/>
      <c r="Q145" s="582"/>
      <c r="R145" s="582"/>
    </row>
    <row r="146" spans="1:26" ht="15" customHeight="1" x14ac:dyDescent="0.3">
      <c r="A146" s="476" t="s">
        <v>145</v>
      </c>
      <c r="B146" s="476" t="s">
        <v>146</v>
      </c>
      <c r="C146" s="476" t="s">
        <v>147</v>
      </c>
      <c r="D146" s="476" t="s">
        <v>148</v>
      </c>
      <c r="E146" s="476" t="s">
        <v>149</v>
      </c>
      <c r="F146" s="476" t="s">
        <v>150</v>
      </c>
      <c r="G146" s="476" t="s">
        <v>151</v>
      </c>
      <c r="H146" s="476" t="s">
        <v>152</v>
      </c>
      <c r="I146" s="476" t="s">
        <v>153</v>
      </c>
      <c r="J146" s="476" t="s">
        <v>154</v>
      </c>
      <c r="K146" s="476" t="s">
        <v>155</v>
      </c>
      <c r="L146" s="476" t="s">
        <v>88</v>
      </c>
      <c r="M146" s="476" t="s">
        <v>156</v>
      </c>
      <c r="N146" s="476" t="s">
        <v>157</v>
      </c>
      <c r="O146" s="476" t="s">
        <v>158</v>
      </c>
      <c r="P146" s="477" t="s">
        <v>159</v>
      </c>
      <c r="Q146" s="477" t="s">
        <v>192</v>
      </c>
      <c r="R146" s="477" t="s">
        <v>160</v>
      </c>
    </row>
    <row r="147" spans="1:26" ht="15" customHeight="1" x14ac:dyDescent="0.3">
      <c r="A147" s="151" t="s">
        <v>193</v>
      </c>
      <c r="B147" s="151" t="s">
        <v>247</v>
      </c>
      <c r="C147" s="151" t="s">
        <v>249</v>
      </c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2"/>
    </row>
    <row r="148" spans="1:26" ht="15" customHeight="1" x14ac:dyDescent="0.3">
      <c r="A148" s="151" t="s">
        <v>196</v>
      </c>
      <c r="B148" s="151">
        <v>21700</v>
      </c>
      <c r="C148" s="151"/>
      <c r="D148" s="151"/>
      <c r="E148" s="151"/>
      <c r="F148" s="151"/>
      <c r="G148" s="151"/>
      <c r="H148" s="151" t="s">
        <v>197</v>
      </c>
      <c r="I148" s="151"/>
      <c r="J148" s="151"/>
      <c r="K148" s="151"/>
      <c r="L148" s="151" t="s">
        <v>198</v>
      </c>
      <c r="M148" s="151"/>
      <c r="N148" s="151"/>
      <c r="O148" s="151"/>
      <c r="P148" s="453" t="s">
        <v>199</v>
      </c>
      <c r="Q148" s="454"/>
      <c r="R148" s="455"/>
    </row>
    <row r="149" spans="1:26" ht="15" customHeight="1" x14ac:dyDescent="0.3">
      <c r="A149" s="151" t="s">
        <v>200</v>
      </c>
      <c r="B149" s="151"/>
      <c r="C149" s="151">
        <v>2018</v>
      </c>
      <c r="D149" s="151"/>
      <c r="E149" s="151"/>
      <c r="F149" s="151"/>
      <c r="G149" s="151"/>
      <c r="H149" s="151" t="s">
        <v>201</v>
      </c>
      <c r="I149" s="151"/>
      <c r="J149" s="151"/>
      <c r="K149" s="151"/>
      <c r="L149" s="151" t="s">
        <v>202</v>
      </c>
      <c r="M149" s="151"/>
      <c r="N149" s="151"/>
      <c r="O149" s="151"/>
      <c r="P149" s="303" t="s">
        <v>203</v>
      </c>
      <c r="Q149" s="151"/>
      <c r="R149" s="153"/>
    </row>
    <row r="150" spans="1:26" ht="15" customHeight="1" x14ac:dyDescent="0.3">
      <c r="A150" s="151" t="s">
        <v>204</v>
      </c>
      <c r="B150" s="151"/>
      <c r="C150" s="151">
        <v>9850</v>
      </c>
      <c r="D150" s="151" t="s">
        <v>205</v>
      </c>
      <c r="E150" s="151"/>
      <c r="F150" s="151"/>
      <c r="G150" s="151"/>
      <c r="H150" s="151" t="s">
        <v>206</v>
      </c>
      <c r="I150" s="151"/>
      <c r="J150" s="151"/>
      <c r="K150" s="151"/>
      <c r="L150" s="151" t="s">
        <v>207</v>
      </c>
      <c r="M150" s="151" t="s">
        <v>208</v>
      </c>
      <c r="N150" s="151" t="s">
        <v>209</v>
      </c>
      <c r="O150" s="151" t="s">
        <v>210</v>
      </c>
      <c r="P150" s="456" t="s">
        <v>211</v>
      </c>
      <c r="Q150" s="457"/>
      <c r="R150" s="458"/>
    </row>
    <row r="151" spans="1:26" ht="15" customHeight="1" x14ac:dyDescent="0.3">
      <c r="A151" s="151" t="s">
        <v>212</v>
      </c>
      <c r="B151" s="151"/>
      <c r="C151" s="151">
        <v>5</v>
      </c>
      <c r="D151" s="151"/>
      <c r="E151" s="154"/>
      <c r="F151" s="151"/>
      <c r="G151" s="151"/>
      <c r="H151" s="151" t="s">
        <v>207</v>
      </c>
      <c r="I151" s="151" t="s">
        <v>213</v>
      </c>
      <c r="J151" s="151" t="s">
        <v>209</v>
      </c>
      <c r="K151" s="151" t="s">
        <v>210</v>
      </c>
      <c r="L151" s="304">
        <v>2100</v>
      </c>
      <c r="M151" s="305">
        <v>8600</v>
      </c>
      <c r="N151" s="305">
        <v>384300</v>
      </c>
      <c r="O151" s="306">
        <v>50100</v>
      </c>
      <c r="P151" s="155"/>
      <c r="Q151" s="151"/>
      <c r="R151" s="152"/>
    </row>
    <row r="152" spans="1:26" ht="15" customHeight="1" x14ac:dyDescent="0.3">
      <c r="A152" s="151" t="s">
        <v>214</v>
      </c>
      <c r="B152" s="151"/>
      <c r="C152" s="151">
        <v>492.5</v>
      </c>
      <c r="D152" s="151" t="s">
        <v>215</v>
      </c>
      <c r="E152" s="151"/>
      <c r="F152" s="151"/>
      <c r="G152" s="151"/>
      <c r="H152" s="156">
        <v>3.6432281029351699E-2</v>
      </c>
      <c r="I152" s="156">
        <v>0.19581096457956468</v>
      </c>
      <c r="J152" s="156">
        <v>8.753858610025091E-3</v>
      </c>
      <c r="K152" s="156">
        <v>2.2429538425628756E-3</v>
      </c>
      <c r="L152" s="155"/>
      <c r="M152" s="155"/>
      <c r="N152" s="155"/>
      <c r="O152" s="155"/>
      <c r="P152" s="155"/>
      <c r="Q152" s="151"/>
      <c r="R152" s="152"/>
    </row>
    <row r="153" spans="1:26" ht="15" customHeight="1" x14ac:dyDescent="0.3">
      <c r="A153" s="151" t="s">
        <v>216</v>
      </c>
      <c r="B153" s="151"/>
      <c r="C153" s="151">
        <v>1.1499999999999999</v>
      </c>
      <c r="D153" s="151"/>
      <c r="E153" s="151"/>
      <c r="F153" s="151"/>
      <c r="G153" s="151"/>
      <c r="H153" s="151" t="s">
        <v>217</v>
      </c>
      <c r="I153" s="151"/>
      <c r="J153" s="151"/>
      <c r="K153" s="151"/>
      <c r="L153" s="151"/>
      <c r="M153" s="151"/>
      <c r="N153" s="151"/>
      <c r="O153" s="151"/>
      <c r="P153" s="151"/>
      <c r="Q153" s="151"/>
      <c r="R153" s="152"/>
    </row>
    <row r="154" spans="1:26" ht="15" customHeight="1" x14ac:dyDescent="0.3">
      <c r="A154" s="151" t="s">
        <v>218</v>
      </c>
      <c r="B154" s="151"/>
      <c r="C154" s="151">
        <v>2025</v>
      </c>
      <c r="D154" s="151"/>
      <c r="E154" s="151"/>
      <c r="F154" s="151"/>
      <c r="G154" s="151"/>
      <c r="H154" s="151" t="s">
        <v>207</v>
      </c>
      <c r="I154" s="151" t="s">
        <v>213</v>
      </c>
      <c r="J154" s="151" t="s">
        <v>209</v>
      </c>
      <c r="K154" s="151" t="s">
        <v>210</v>
      </c>
      <c r="L154" s="151"/>
      <c r="M154" s="151"/>
      <c r="N154" s="151"/>
      <c r="O154" s="151"/>
      <c r="P154" s="151"/>
      <c r="Q154" s="151"/>
      <c r="R154" s="152"/>
    </row>
    <row r="155" spans="1:26" ht="15" customHeight="1" x14ac:dyDescent="0.3">
      <c r="A155" s="151" t="s">
        <v>219</v>
      </c>
      <c r="B155" s="151"/>
      <c r="C155" s="151">
        <v>1.1000000000000001</v>
      </c>
      <c r="D155" s="151" t="s">
        <v>220</v>
      </c>
      <c r="E155" s="151"/>
      <c r="F155" s="151"/>
      <c r="G155" s="151"/>
      <c r="H155" s="156">
        <v>0.1926184710123312</v>
      </c>
      <c r="I155" s="156">
        <v>3.5876303775197051</v>
      </c>
      <c r="J155" s="156">
        <v>0.13760098285564054</v>
      </c>
      <c r="K155" s="156">
        <v>1.13555217375917E-2</v>
      </c>
      <c r="L155" s="151"/>
      <c r="M155" s="151"/>
      <c r="N155" s="151"/>
      <c r="O155" s="151"/>
      <c r="P155" s="151"/>
      <c r="Q155" s="151"/>
      <c r="R155" s="152"/>
    </row>
    <row r="156" spans="1:26" ht="15" customHeight="1" x14ac:dyDescent="0.3">
      <c r="A156" s="151" t="s">
        <v>221</v>
      </c>
      <c r="B156" s="151"/>
      <c r="C156" s="151">
        <v>2.9000000000000001E-2</v>
      </c>
      <c r="D156" s="151" t="s">
        <v>222</v>
      </c>
      <c r="E156" s="151"/>
      <c r="F156" s="151"/>
      <c r="G156" s="151"/>
      <c r="H156" s="151" t="s">
        <v>223</v>
      </c>
      <c r="I156" s="151"/>
      <c r="J156" s="151"/>
      <c r="K156" s="151"/>
      <c r="L156" s="151" t="s">
        <v>224</v>
      </c>
      <c r="M156" s="151"/>
      <c r="N156" s="151"/>
      <c r="O156" s="151"/>
      <c r="P156" s="151"/>
      <c r="Q156" s="151"/>
      <c r="R156" s="152"/>
    </row>
    <row r="157" spans="1:26" ht="15" customHeight="1" x14ac:dyDescent="0.3">
      <c r="A157" s="459" t="s">
        <v>29</v>
      </c>
      <c r="B157" s="459" t="s">
        <v>30</v>
      </c>
      <c r="C157" s="478" t="s">
        <v>225</v>
      </c>
      <c r="D157" s="478" t="s">
        <v>226</v>
      </c>
      <c r="E157" s="478" t="s">
        <v>183</v>
      </c>
      <c r="F157" s="459" t="s">
        <v>227</v>
      </c>
      <c r="G157" s="459" t="s">
        <v>228</v>
      </c>
      <c r="H157" s="459" t="s">
        <v>229</v>
      </c>
      <c r="I157" s="459" t="s">
        <v>230</v>
      </c>
      <c r="J157" s="459" t="s">
        <v>231</v>
      </c>
      <c r="K157" s="459" t="s">
        <v>232</v>
      </c>
      <c r="L157" s="459" t="s">
        <v>233</v>
      </c>
      <c r="M157" s="459" t="s">
        <v>234</v>
      </c>
      <c r="N157" s="459" t="s">
        <v>235</v>
      </c>
      <c r="O157" s="459" t="s">
        <v>236</v>
      </c>
      <c r="P157" s="461" t="s">
        <v>237</v>
      </c>
      <c r="Q157" s="459" t="s">
        <v>238</v>
      </c>
      <c r="R157" s="459" t="s">
        <v>239</v>
      </c>
      <c r="W157" s="462" t="s">
        <v>240</v>
      </c>
      <c r="X157" s="462" t="s">
        <v>241</v>
      </c>
      <c r="Y157" s="462" t="s">
        <v>242</v>
      </c>
      <c r="Z157" s="462" t="s">
        <v>243</v>
      </c>
    </row>
    <row r="158" spans="1:26" ht="15" customHeight="1" x14ac:dyDescent="0.3">
      <c r="A158" s="463">
        <v>0</v>
      </c>
      <c r="B158" s="463">
        <v>2018</v>
      </c>
      <c r="C158" s="479">
        <v>9357.5</v>
      </c>
      <c r="D158" s="480">
        <v>492.5</v>
      </c>
      <c r="E158" s="465">
        <v>0</v>
      </c>
      <c r="F158" s="466">
        <f>C158*E158*365</f>
        <v>0</v>
      </c>
      <c r="G158" s="466">
        <f>D158*E158*365</f>
        <v>0</v>
      </c>
      <c r="H158" s="467">
        <f t="shared" ref="H158:K173" si="61">($F158*H$8+$G158*H$11)/1000000*1.1015</f>
        <v>0</v>
      </c>
      <c r="I158" s="467">
        <f t="shared" si="61"/>
        <v>0</v>
      </c>
      <c r="J158" s="467">
        <f t="shared" si="61"/>
        <v>0</v>
      </c>
      <c r="K158" s="467">
        <f t="shared" si="61"/>
        <v>0</v>
      </c>
      <c r="L158" s="468">
        <f>H158*L$7</f>
        <v>0</v>
      </c>
      <c r="M158" s="468">
        <f t="shared" ref="M158:O173" si="62">I158*M$7</f>
        <v>0</v>
      </c>
      <c r="N158" s="468">
        <f t="shared" si="62"/>
        <v>0</v>
      </c>
      <c r="O158" s="468">
        <f t="shared" si="62"/>
        <v>0</v>
      </c>
      <c r="P158" s="468">
        <f>(+F158)*398.52/1000000</f>
        <v>0</v>
      </c>
      <c r="Q158" s="468">
        <f>SUM(L158:P158)</f>
        <v>0</v>
      </c>
      <c r="R158" s="469">
        <f>Q158/(1+0.07)^A158</f>
        <v>0</v>
      </c>
      <c r="W158" s="470">
        <f>L158/(1+0.07)^$A158</f>
        <v>0</v>
      </c>
      <c r="X158" s="470">
        <f t="shared" ref="X158:X189" si="63">M158/(1+0.07)^$A158</f>
        <v>0</v>
      </c>
      <c r="Y158" s="470">
        <f t="shared" ref="Y158:Y189" si="64">N158/(1+0.07)^$A158</f>
        <v>0</v>
      </c>
      <c r="Z158" s="470">
        <f t="shared" ref="Z158:Z189" si="65">O158/(1+0.07)^$A158</f>
        <v>0</v>
      </c>
    </row>
    <row r="159" spans="1:26" ht="15" customHeight="1" x14ac:dyDescent="0.3">
      <c r="A159" s="463">
        <f>1+A158</f>
        <v>1</v>
      </c>
      <c r="B159" s="463">
        <f>1+B158</f>
        <v>2019</v>
      </c>
      <c r="C159" s="479">
        <v>9405</v>
      </c>
      <c r="D159" s="480">
        <v>495</v>
      </c>
      <c r="E159" s="465">
        <v>0</v>
      </c>
      <c r="F159" s="466">
        <f t="shared" ref="F159:F189" si="66">C159*E159*365</f>
        <v>0</v>
      </c>
      <c r="G159" s="466">
        <f t="shared" ref="G159:G189" si="67">D159*E159*365</f>
        <v>0</v>
      </c>
      <c r="H159" s="467">
        <f t="shared" si="61"/>
        <v>0</v>
      </c>
      <c r="I159" s="467">
        <f t="shared" si="61"/>
        <v>0</v>
      </c>
      <c r="J159" s="467">
        <f t="shared" si="61"/>
        <v>0</v>
      </c>
      <c r="K159" s="467">
        <f t="shared" si="61"/>
        <v>0</v>
      </c>
      <c r="L159" s="468">
        <f t="shared" ref="L159:O174" si="68">H159*L$7</f>
        <v>0</v>
      </c>
      <c r="M159" s="468">
        <f t="shared" si="62"/>
        <v>0</v>
      </c>
      <c r="N159" s="468">
        <f t="shared" si="62"/>
        <v>0</v>
      </c>
      <c r="O159" s="468">
        <f t="shared" si="62"/>
        <v>0</v>
      </c>
      <c r="P159" s="468">
        <f t="shared" ref="P159:P189" si="69">(+F159)*398.52/1000000</f>
        <v>0</v>
      </c>
      <c r="Q159" s="468">
        <f t="shared" ref="Q159:Q189" si="70">SUM(L159:P159)</f>
        <v>0</v>
      </c>
      <c r="R159" s="469">
        <f t="shared" ref="R159:R189" si="71">Q159/(1+0.07)^A159</f>
        <v>0</v>
      </c>
      <c r="W159" s="470">
        <f t="shared" ref="W159:W189" si="72">L159/(1+0.07)^$A159</f>
        <v>0</v>
      </c>
      <c r="X159" s="470">
        <f t="shared" si="63"/>
        <v>0</v>
      </c>
      <c r="Y159" s="470">
        <f t="shared" si="64"/>
        <v>0</v>
      </c>
      <c r="Z159" s="470">
        <f t="shared" si="65"/>
        <v>0</v>
      </c>
    </row>
    <row r="160" spans="1:26" ht="15" customHeight="1" x14ac:dyDescent="0.3">
      <c r="A160" s="463">
        <f>1+A159</f>
        <v>2</v>
      </c>
      <c r="B160" s="463">
        <f t="shared" ref="B160:B189" si="73">1+B159</f>
        <v>2020</v>
      </c>
      <c r="C160" s="479">
        <v>9452.5</v>
      </c>
      <c r="D160" s="480">
        <v>497.5</v>
      </c>
      <c r="E160" s="465">
        <v>0</v>
      </c>
      <c r="F160" s="466">
        <f t="shared" si="66"/>
        <v>0</v>
      </c>
      <c r="G160" s="466">
        <f>D160*E160*365</f>
        <v>0</v>
      </c>
      <c r="H160" s="467">
        <f t="shared" si="61"/>
        <v>0</v>
      </c>
      <c r="I160" s="467">
        <f t="shared" si="61"/>
        <v>0</v>
      </c>
      <c r="J160" s="467">
        <f t="shared" si="61"/>
        <v>0</v>
      </c>
      <c r="K160" s="467">
        <f t="shared" si="61"/>
        <v>0</v>
      </c>
      <c r="L160" s="468">
        <f t="shared" si="68"/>
        <v>0</v>
      </c>
      <c r="M160" s="468">
        <f t="shared" si="62"/>
        <v>0</v>
      </c>
      <c r="N160" s="468">
        <f t="shared" si="62"/>
        <v>0</v>
      </c>
      <c r="O160" s="468">
        <f t="shared" si="62"/>
        <v>0</v>
      </c>
      <c r="P160" s="468">
        <f t="shared" si="69"/>
        <v>0</v>
      </c>
      <c r="Q160" s="468">
        <f t="shared" si="70"/>
        <v>0</v>
      </c>
      <c r="R160" s="469">
        <f t="shared" si="71"/>
        <v>0</v>
      </c>
      <c r="W160" s="470">
        <f t="shared" si="72"/>
        <v>0</v>
      </c>
      <c r="X160" s="470">
        <f t="shared" si="63"/>
        <v>0</v>
      </c>
      <c r="Y160" s="470">
        <f t="shared" si="64"/>
        <v>0</v>
      </c>
      <c r="Z160" s="470">
        <f t="shared" si="65"/>
        <v>0</v>
      </c>
    </row>
    <row r="161" spans="1:26" ht="15" customHeight="1" x14ac:dyDescent="0.3">
      <c r="A161" s="463">
        <f t="shared" ref="A161:A189" si="74">1+A160</f>
        <v>3</v>
      </c>
      <c r="B161" s="463">
        <f t="shared" si="73"/>
        <v>2021</v>
      </c>
      <c r="C161" s="479">
        <v>9500</v>
      </c>
      <c r="D161" s="480">
        <v>500</v>
      </c>
      <c r="E161" s="465">
        <v>0</v>
      </c>
      <c r="F161" s="466">
        <f t="shared" si="66"/>
        <v>0</v>
      </c>
      <c r="G161" s="466">
        <f t="shared" si="67"/>
        <v>0</v>
      </c>
      <c r="H161" s="467">
        <f t="shared" si="61"/>
        <v>0</v>
      </c>
      <c r="I161" s="467">
        <f t="shared" si="61"/>
        <v>0</v>
      </c>
      <c r="J161" s="467">
        <f t="shared" si="61"/>
        <v>0</v>
      </c>
      <c r="K161" s="467">
        <f t="shared" si="61"/>
        <v>0</v>
      </c>
      <c r="L161" s="468">
        <f t="shared" si="68"/>
        <v>0</v>
      </c>
      <c r="M161" s="468">
        <f t="shared" si="62"/>
        <v>0</v>
      </c>
      <c r="N161" s="468">
        <f t="shared" si="62"/>
        <v>0</v>
      </c>
      <c r="O161" s="468">
        <f t="shared" si="62"/>
        <v>0</v>
      </c>
      <c r="P161" s="468">
        <f t="shared" si="69"/>
        <v>0</v>
      </c>
      <c r="Q161" s="468">
        <f t="shared" si="70"/>
        <v>0</v>
      </c>
      <c r="R161" s="469">
        <f t="shared" si="71"/>
        <v>0</v>
      </c>
      <c r="W161" s="470">
        <f t="shared" si="72"/>
        <v>0</v>
      </c>
      <c r="X161" s="470">
        <f t="shared" si="63"/>
        <v>0</v>
      </c>
      <c r="Y161" s="470">
        <f t="shared" si="64"/>
        <v>0</v>
      </c>
      <c r="Z161" s="470">
        <f t="shared" si="65"/>
        <v>0</v>
      </c>
    </row>
    <row r="162" spans="1:26" ht="15" customHeight="1" x14ac:dyDescent="0.3">
      <c r="A162" s="463">
        <f t="shared" si="74"/>
        <v>4</v>
      </c>
      <c r="B162" s="463">
        <f t="shared" si="73"/>
        <v>2022</v>
      </c>
      <c r="C162" s="479">
        <v>9547.5</v>
      </c>
      <c r="D162" s="480">
        <v>502.5</v>
      </c>
      <c r="E162" s="465">
        <v>0</v>
      </c>
      <c r="F162" s="466">
        <f t="shared" si="66"/>
        <v>0</v>
      </c>
      <c r="G162" s="466">
        <f t="shared" si="67"/>
        <v>0</v>
      </c>
      <c r="H162" s="467">
        <f t="shared" si="61"/>
        <v>0</v>
      </c>
      <c r="I162" s="467">
        <f t="shared" si="61"/>
        <v>0</v>
      </c>
      <c r="J162" s="467">
        <f t="shared" si="61"/>
        <v>0</v>
      </c>
      <c r="K162" s="467">
        <f t="shared" si="61"/>
        <v>0</v>
      </c>
      <c r="L162" s="468">
        <f t="shared" si="68"/>
        <v>0</v>
      </c>
      <c r="M162" s="468">
        <f t="shared" si="62"/>
        <v>0</v>
      </c>
      <c r="N162" s="468">
        <f t="shared" si="62"/>
        <v>0</v>
      </c>
      <c r="O162" s="468">
        <f t="shared" si="62"/>
        <v>0</v>
      </c>
      <c r="P162" s="468">
        <f t="shared" si="69"/>
        <v>0</v>
      </c>
      <c r="Q162" s="468">
        <f t="shared" si="70"/>
        <v>0</v>
      </c>
      <c r="R162" s="469">
        <f t="shared" si="71"/>
        <v>0</v>
      </c>
      <c r="W162" s="470">
        <f t="shared" si="72"/>
        <v>0</v>
      </c>
      <c r="X162" s="470">
        <f t="shared" si="63"/>
        <v>0</v>
      </c>
      <c r="Y162" s="470">
        <f t="shared" si="64"/>
        <v>0</v>
      </c>
      <c r="Z162" s="470">
        <f t="shared" si="65"/>
        <v>0</v>
      </c>
    </row>
    <row r="163" spans="1:26" ht="15" customHeight="1" x14ac:dyDescent="0.3">
      <c r="A163" s="463">
        <f t="shared" si="74"/>
        <v>5</v>
      </c>
      <c r="B163" s="463">
        <f t="shared" si="73"/>
        <v>2023</v>
      </c>
      <c r="C163" s="479">
        <v>9595</v>
      </c>
      <c r="D163" s="480">
        <v>505</v>
      </c>
      <c r="E163" s="465">
        <v>0</v>
      </c>
      <c r="F163" s="466">
        <f t="shared" si="66"/>
        <v>0</v>
      </c>
      <c r="G163" s="466">
        <f t="shared" si="67"/>
        <v>0</v>
      </c>
      <c r="H163" s="467">
        <f t="shared" si="61"/>
        <v>0</v>
      </c>
      <c r="I163" s="467">
        <f t="shared" si="61"/>
        <v>0</v>
      </c>
      <c r="J163" s="467">
        <f t="shared" si="61"/>
        <v>0</v>
      </c>
      <c r="K163" s="467">
        <f t="shared" si="61"/>
        <v>0</v>
      </c>
      <c r="L163" s="468">
        <f t="shared" si="68"/>
        <v>0</v>
      </c>
      <c r="M163" s="468">
        <f t="shared" si="62"/>
        <v>0</v>
      </c>
      <c r="N163" s="468">
        <f t="shared" si="62"/>
        <v>0</v>
      </c>
      <c r="O163" s="468">
        <f t="shared" si="62"/>
        <v>0</v>
      </c>
      <c r="P163" s="468">
        <f t="shared" si="69"/>
        <v>0</v>
      </c>
      <c r="Q163" s="468">
        <f t="shared" si="70"/>
        <v>0</v>
      </c>
      <c r="R163" s="469">
        <f t="shared" si="71"/>
        <v>0</v>
      </c>
      <c r="W163" s="470">
        <f t="shared" si="72"/>
        <v>0</v>
      </c>
      <c r="X163" s="470">
        <f t="shared" si="63"/>
        <v>0</v>
      </c>
      <c r="Y163" s="470">
        <f t="shared" si="64"/>
        <v>0</v>
      </c>
      <c r="Z163" s="470">
        <f t="shared" si="65"/>
        <v>0</v>
      </c>
    </row>
    <row r="164" spans="1:26" ht="15" customHeight="1" x14ac:dyDescent="0.3">
      <c r="A164" s="463">
        <f t="shared" si="74"/>
        <v>6</v>
      </c>
      <c r="B164" s="463">
        <f t="shared" si="73"/>
        <v>2024</v>
      </c>
      <c r="C164" s="479">
        <v>9642.5</v>
      </c>
      <c r="D164" s="480">
        <v>507.5</v>
      </c>
      <c r="E164" s="465">
        <v>0</v>
      </c>
      <c r="F164" s="466">
        <f t="shared" si="66"/>
        <v>0</v>
      </c>
      <c r="G164" s="466">
        <f t="shared" si="67"/>
        <v>0</v>
      </c>
      <c r="H164" s="467">
        <f t="shared" si="61"/>
        <v>0</v>
      </c>
      <c r="I164" s="467">
        <f t="shared" si="61"/>
        <v>0</v>
      </c>
      <c r="J164" s="467">
        <f t="shared" si="61"/>
        <v>0</v>
      </c>
      <c r="K164" s="467">
        <f t="shared" si="61"/>
        <v>0</v>
      </c>
      <c r="L164" s="468">
        <f t="shared" si="68"/>
        <v>0</v>
      </c>
      <c r="M164" s="468">
        <f t="shared" si="62"/>
        <v>0</v>
      </c>
      <c r="N164" s="468">
        <f t="shared" si="62"/>
        <v>0</v>
      </c>
      <c r="O164" s="468">
        <f t="shared" si="62"/>
        <v>0</v>
      </c>
      <c r="P164" s="468">
        <f t="shared" si="69"/>
        <v>0</v>
      </c>
      <c r="Q164" s="468">
        <f t="shared" si="70"/>
        <v>0</v>
      </c>
      <c r="R164" s="469">
        <f t="shared" si="71"/>
        <v>0</v>
      </c>
      <c r="W164" s="470">
        <f t="shared" si="72"/>
        <v>0</v>
      </c>
      <c r="X164" s="470">
        <f t="shared" si="63"/>
        <v>0</v>
      </c>
      <c r="Y164" s="470">
        <f t="shared" si="64"/>
        <v>0</v>
      </c>
      <c r="Z164" s="470">
        <f t="shared" si="65"/>
        <v>0</v>
      </c>
    </row>
    <row r="165" spans="1:26" ht="15" customHeight="1" x14ac:dyDescent="0.3">
      <c r="A165" s="463">
        <f t="shared" si="74"/>
        <v>7</v>
      </c>
      <c r="B165" s="463">
        <f t="shared" si="73"/>
        <v>2025</v>
      </c>
      <c r="C165" s="479">
        <v>9680.5</v>
      </c>
      <c r="D165" s="480">
        <v>509.5</v>
      </c>
      <c r="E165" s="483">
        <v>1.1000000000000001</v>
      </c>
      <c r="F165" s="466">
        <f t="shared" si="66"/>
        <v>3886720.7500000005</v>
      </c>
      <c r="G165" s="466">
        <f t="shared" si="67"/>
        <v>204564.25000000003</v>
      </c>
      <c r="H165" s="467">
        <f t="shared" si="61"/>
        <v>0.19937695870949468</v>
      </c>
      <c r="I165" s="467">
        <f t="shared" si="61"/>
        <v>1.6467022474046344</v>
      </c>
      <c r="J165" s="467">
        <f t="shared" si="61"/>
        <v>6.848250840384433E-2</v>
      </c>
      <c r="K165" s="467">
        <f t="shared" si="61"/>
        <v>1.2161296935212741E-2</v>
      </c>
      <c r="L165" s="468">
        <f t="shared" si="68"/>
        <v>418.6916132899388</v>
      </c>
      <c r="M165" s="468">
        <f t="shared" si="62"/>
        <v>14161.639327679855</v>
      </c>
      <c r="N165" s="468">
        <f t="shared" si="62"/>
        <v>26317.827979597376</v>
      </c>
      <c r="O165" s="468">
        <f t="shared" si="62"/>
        <v>609.28097645415835</v>
      </c>
      <c r="P165" s="468">
        <f t="shared" si="69"/>
        <v>1548.9359532900003</v>
      </c>
      <c r="Q165" s="468">
        <f t="shared" si="70"/>
        <v>43056.375850311328</v>
      </c>
      <c r="R165" s="469">
        <f>Q165/(1+0.07)^(A165)</f>
        <v>26813.346947267321</v>
      </c>
      <c r="W165" s="470">
        <f t="shared" si="72"/>
        <v>260.74009410555243</v>
      </c>
      <c r="X165" s="470">
        <f t="shared" si="63"/>
        <v>8819.1572359753045</v>
      </c>
      <c r="Y165" s="470">
        <f t="shared" si="64"/>
        <v>16389.420581257335</v>
      </c>
      <c r="Z165" s="470">
        <f t="shared" si="65"/>
        <v>379.42957082201872</v>
      </c>
    </row>
    <row r="166" spans="1:26" ht="15" customHeight="1" x14ac:dyDescent="0.3">
      <c r="A166" s="463">
        <f t="shared" si="74"/>
        <v>8</v>
      </c>
      <c r="B166" s="463">
        <f t="shared" si="73"/>
        <v>2026</v>
      </c>
      <c r="C166" s="479">
        <v>9728</v>
      </c>
      <c r="D166" s="480">
        <v>512</v>
      </c>
      <c r="E166" s="483">
        <v>1.1000000000000001</v>
      </c>
      <c r="F166" s="466">
        <f t="shared" si="66"/>
        <v>3905792.0000000005</v>
      </c>
      <c r="G166" s="466">
        <f t="shared" si="67"/>
        <v>205568.00000000003</v>
      </c>
      <c r="H166" s="467">
        <f t="shared" si="61"/>
        <v>0.20035525585723507</v>
      </c>
      <c r="I166" s="467">
        <f t="shared" si="61"/>
        <v>1.6547822388050493</v>
      </c>
      <c r="J166" s="467">
        <f t="shared" si="61"/>
        <v>6.8818536413676745E-2</v>
      </c>
      <c r="K166" s="467">
        <f t="shared" si="61"/>
        <v>1.2220969638525855E-2</v>
      </c>
      <c r="L166" s="468">
        <f t="shared" si="68"/>
        <v>420.74603730019362</v>
      </c>
      <c r="M166" s="468">
        <f t="shared" si="62"/>
        <v>14231.127253723424</v>
      </c>
      <c r="N166" s="468">
        <f t="shared" si="62"/>
        <v>26446.963543775972</v>
      </c>
      <c r="O166" s="468">
        <f t="shared" si="62"/>
        <v>612.27057889014532</v>
      </c>
      <c r="P166" s="468">
        <f t="shared" si="69"/>
        <v>1556.5362278400003</v>
      </c>
      <c r="Q166" s="468">
        <f t="shared" si="70"/>
        <v>43267.643641529728</v>
      </c>
      <c r="R166" s="469">
        <f t="shared" si="71"/>
        <v>25182.162532445895</v>
      </c>
      <c r="W166" s="470">
        <f t="shared" si="72"/>
        <v>244.87802441837394</v>
      </c>
      <c r="X166" s="470">
        <f t="shared" si="63"/>
        <v>8282.6456298906851</v>
      </c>
      <c r="Y166" s="470">
        <f t="shared" si="64"/>
        <v>15392.373570577269</v>
      </c>
      <c r="Z166" s="470">
        <f t="shared" si="65"/>
        <v>356.34705137137121</v>
      </c>
    </row>
    <row r="167" spans="1:26" ht="15" customHeight="1" x14ac:dyDescent="0.3">
      <c r="A167" s="463">
        <f t="shared" si="74"/>
        <v>9</v>
      </c>
      <c r="B167" s="463">
        <f t="shared" si="73"/>
        <v>2027</v>
      </c>
      <c r="C167" s="479">
        <v>9775.5</v>
      </c>
      <c r="D167" s="480">
        <v>514.5</v>
      </c>
      <c r="E167" s="483">
        <v>1.1000000000000001</v>
      </c>
      <c r="F167" s="466">
        <f t="shared" si="66"/>
        <v>3924863.2500000005</v>
      </c>
      <c r="G167" s="466">
        <f t="shared" si="67"/>
        <v>206571.75000000003</v>
      </c>
      <c r="H167" s="467">
        <f t="shared" si="61"/>
        <v>0.20133355300497546</v>
      </c>
      <c r="I167" s="467">
        <f t="shared" si="61"/>
        <v>1.6628622302054645</v>
      </c>
      <c r="J167" s="467">
        <f t="shared" si="61"/>
        <v>6.9154564423509146E-2</v>
      </c>
      <c r="K167" s="467">
        <f t="shared" si="61"/>
        <v>1.2280642341838973E-2</v>
      </c>
      <c r="L167" s="468">
        <f t="shared" si="68"/>
        <v>422.8004613104485</v>
      </c>
      <c r="M167" s="468">
        <f t="shared" si="62"/>
        <v>14300.615179766995</v>
      </c>
      <c r="N167" s="468">
        <f t="shared" si="62"/>
        <v>26576.099107954564</v>
      </c>
      <c r="O167" s="468">
        <f t="shared" si="62"/>
        <v>615.26018132613251</v>
      </c>
      <c r="P167" s="468">
        <f t="shared" si="69"/>
        <v>1564.13650239</v>
      </c>
      <c r="Q167" s="468">
        <f t="shared" si="70"/>
        <v>43478.911432748144</v>
      </c>
      <c r="R167" s="469">
        <f t="shared" si="71"/>
        <v>23649.6470190994</v>
      </c>
      <c r="W167" s="470">
        <f t="shared" si="72"/>
        <v>229.97543728689652</v>
      </c>
      <c r="X167" s="470">
        <f t="shared" si="63"/>
        <v>7778.5871359863404</v>
      </c>
      <c r="Y167" s="470">
        <f t="shared" si="64"/>
        <v>14455.637051076963</v>
      </c>
      <c r="Z167" s="470">
        <f t="shared" si="65"/>
        <v>334.66077309172476</v>
      </c>
    </row>
    <row r="168" spans="1:26" ht="15" customHeight="1" x14ac:dyDescent="0.3">
      <c r="A168" s="463">
        <f t="shared" si="74"/>
        <v>10</v>
      </c>
      <c r="B168" s="463">
        <f t="shared" si="73"/>
        <v>2028</v>
      </c>
      <c r="C168" s="479">
        <v>9823</v>
      </c>
      <c r="D168" s="480">
        <v>517</v>
      </c>
      <c r="E168" s="483">
        <v>1.1000000000000001</v>
      </c>
      <c r="F168" s="466">
        <f t="shared" si="66"/>
        <v>3943934.5000000005</v>
      </c>
      <c r="G168" s="466">
        <f t="shared" si="67"/>
        <v>207575.50000000003</v>
      </c>
      <c r="H168" s="467">
        <f t="shared" si="61"/>
        <v>0.20231185015271588</v>
      </c>
      <c r="I168" s="467">
        <f t="shared" si="61"/>
        <v>1.67094222160588</v>
      </c>
      <c r="J168" s="467">
        <f t="shared" si="61"/>
        <v>6.9490592433341547E-2</v>
      </c>
      <c r="K168" s="467">
        <f t="shared" si="61"/>
        <v>1.2340315045152084E-2</v>
      </c>
      <c r="L168" s="468">
        <f t="shared" si="68"/>
        <v>424.85488532070337</v>
      </c>
      <c r="M168" s="468">
        <f t="shared" si="62"/>
        <v>14370.103105810567</v>
      </c>
      <c r="N168" s="468">
        <f t="shared" si="62"/>
        <v>26705.234672133156</v>
      </c>
      <c r="O168" s="468">
        <f t="shared" si="62"/>
        <v>618.24978376211948</v>
      </c>
      <c r="P168" s="468">
        <f t="shared" si="69"/>
        <v>1571.73677694</v>
      </c>
      <c r="Q168" s="468">
        <f t="shared" si="70"/>
        <v>43690.179223966545</v>
      </c>
      <c r="R168" s="469">
        <f t="shared" si="71"/>
        <v>22209.871681742348</v>
      </c>
      <c r="W168" s="470">
        <f t="shared" si="72"/>
        <v>215.97468021275625</v>
      </c>
      <c r="X168" s="470">
        <f t="shared" si="63"/>
        <v>7305.0317417417118</v>
      </c>
      <c r="Y168" s="470">
        <f t="shared" si="64"/>
        <v>13575.587141870412</v>
      </c>
      <c r="Z168" s="470">
        <f t="shared" si="65"/>
        <v>314.28683993791577</v>
      </c>
    </row>
    <row r="169" spans="1:26" ht="15" customHeight="1" x14ac:dyDescent="0.3">
      <c r="A169" s="463">
        <f t="shared" si="74"/>
        <v>11</v>
      </c>
      <c r="B169" s="463">
        <f t="shared" si="73"/>
        <v>2029</v>
      </c>
      <c r="C169" s="479">
        <v>9870.5</v>
      </c>
      <c r="D169" s="480">
        <v>519.5</v>
      </c>
      <c r="E169" s="483">
        <v>1.1000000000000001</v>
      </c>
      <c r="F169" s="466">
        <f t="shared" si="66"/>
        <v>3963005.7500000005</v>
      </c>
      <c r="G169" s="466">
        <f t="shared" si="67"/>
        <v>208579.25000000003</v>
      </c>
      <c r="H169" s="467">
        <f t="shared" si="61"/>
        <v>0.2032901473004563</v>
      </c>
      <c r="I169" s="467">
        <f t="shared" si="61"/>
        <v>1.6790222130062953</v>
      </c>
      <c r="J169" s="467">
        <f t="shared" si="61"/>
        <v>6.9826620443173948E-2</v>
      </c>
      <c r="K169" s="467">
        <f t="shared" si="61"/>
        <v>1.2399987748465201E-2</v>
      </c>
      <c r="L169" s="468">
        <f t="shared" si="68"/>
        <v>426.90930933095825</v>
      </c>
      <c r="M169" s="468">
        <f t="shared" si="62"/>
        <v>14439.591031854139</v>
      </c>
      <c r="N169" s="468">
        <f t="shared" si="62"/>
        <v>26834.370236311748</v>
      </c>
      <c r="O169" s="468">
        <f t="shared" si="62"/>
        <v>621.23938619810656</v>
      </c>
      <c r="P169" s="468">
        <f t="shared" si="69"/>
        <v>1579.33705149</v>
      </c>
      <c r="Q169" s="468">
        <f t="shared" si="70"/>
        <v>43901.447015184953</v>
      </c>
      <c r="R169" s="469">
        <f t="shared" si="71"/>
        <v>20857.261227905688</v>
      </c>
      <c r="W169" s="470">
        <f t="shared" si="72"/>
        <v>202.8215375739382</v>
      </c>
      <c r="X169" s="470">
        <f t="shared" si="63"/>
        <v>6860.1456820167014</v>
      </c>
      <c r="Y169" s="470">
        <f t="shared" si="64"/>
        <v>12748.815994869174</v>
      </c>
      <c r="Z169" s="470">
        <f t="shared" si="65"/>
        <v>295.14635721496637</v>
      </c>
    </row>
    <row r="170" spans="1:26" ht="15" customHeight="1" x14ac:dyDescent="0.3">
      <c r="A170" s="463">
        <f t="shared" si="74"/>
        <v>12</v>
      </c>
      <c r="B170" s="463">
        <f t="shared" si="73"/>
        <v>2030</v>
      </c>
      <c r="C170" s="479">
        <v>9918</v>
      </c>
      <c r="D170" s="480">
        <v>522</v>
      </c>
      <c r="E170" s="483">
        <v>1.1000000000000001</v>
      </c>
      <c r="F170" s="466">
        <f t="shared" si="66"/>
        <v>3982077.0000000005</v>
      </c>
      <c r="G170" s="466">
        <f t="shared" si="67"/>
        <v>209583.00000000003</v>
      </c>
      <c r="H170" s="467">
        <f t="shared" si="61"/>
        <v>0.2042684444481967</v>
      </c>
      <c r="I170" s="467">
        <f t="shared" si="61"/>
        <v>1.6871022044067105</v>
      </c>
      <c r="J170" s="467">
        <f t="shared" si="61"/>
        <v>7.0162648453006363E-2</v>
      </c>
      <c r="K170" s="467">
        <f t="shared" si="61"/>
        <v>1.2459660451778315E-2</v>
      </c>
      <c r="L170" s="468">
        <f t="shared" si="68"/>
        <v>428.96373334121307</v>
      </c>
      <c r="M170" s="468">
        <f t="shared" si="62"/>
        <v>14509.078957897711</v>
      </c>
      <c r="N170" s="468">
        <f t="shared" si="62"/>
        <v>26963.505800490344</v>
      </c>
      <c r="O170" s="468">
        <f t="shared" si="62"/>
        <v>624.22898863409364</v>
      </c>
      <c r="P170" s="468">
        <f t="shared" si="69"/>
        <v>1586.9373260400002</v>
      </c>
      <c r="Q170" s="468">
        <f t="shared" si="70"/>
        <v>44112.714806403368</v>
      </c>
      <c r="R170" s="469">
        <f t="shared" si="71"/>
        <v>19586.572928618953</v>
      </c>
      <c r="W170" s="470">
        <f t="shared" si="72"/>
        <v>190.46502768405233</v>
      </c>
      <c r="X170" s="470">
        <f t="shared" si="63"/>
        <v>6442.2045748746887</v>
      </c>
      <c r="Y170" s="470">
        <f t="shared" si="64"/>
        <v>11972.119038474648</v>
      </c>
      <c r="Z170" s="470">
        <f t="shared" si="65"/>
        <v>277.16513625828662</v>
      </c>
    </row>
    <row r="171" spans="1:26" ht="15" customHeight="1" x14ac:dyDescent="0.3">
      <c r="A171" s="463">
        <f t="shared" si="74"/>
        <v>13</v>
      </c>
      <c r="B171" s="463">
        <f t="shared" si="73"/>
        <v>2031</v>
      </c>
      <c r="C171" s="479">
        <v>9965.5</v>
      </c>
      <c r="D171" s="480">
        <v>524.5</v>
      </c>
      <c r="E171" s="483">
        <v>1.1000000000000001</v>
      </c>
      <c r="F171" s="466">
        <f t="shared" si="66"/>
        <v>4001148.2500000005</v>
      </c>
      <c r="G171" s="466">
        <f t="shared" si="67"/>
        <v>210586.75000000003</v>
      </c>
      <c r="H171" s="467">
        <f t="shared" si="61"/>
        <v>0.20524674159593709</v>
      </c>
      <c r="I171" s="467">
        <f t="shared" si="61"/>
        <v>1.695182195807126</v>
      </c>
      <c r="J171" s="467">
        <f t="shared" si="61"/>
        <v>7.049867646283875E-2</v>
      </c>
      <c r="K171" s="467">
        <f t="shared" si="61"/>
        <v>1.251933315509143E-2</v>
      </c>
      <c r="L171" s="468">
        <f t="shared" si="68"/>
        <v>431.01815735146789</v>
      </c>
      <c r="M171" s="468">
        <f t="shared" si="62"/>
        <v>14578.566883941285</v>
      </c>
      <c r="N171" s="468">
        <f t="shared" si="62"/>
        <v>27092.641364668933</v>
      </c>
      <c r="O171" s="468">
        <f t="shared" si="62"/>
        <v>627.21859107008061</v>
      </c>
      <c r="P171" s="468">
        <f t="shared" si="69"/>
        <v>1594.5376005900002</v>
      </c>
      <c r="Q171" s="468">
        <f t="shared" si="70"/>
        <v>44323.982597621769</v>
      </c>
      <c r="R171" s="469">
        <f t="shared" si="71"/>
        <v>18392.876966843265</v>
      </c>
      <c r="W171" s="470">
        <f t="shared" si="72"/>
        <v>178.85721169528671</v>
      </c>
      <c r="X171" s="470">
        <f t="shared" si="63"/>
        <v>6049.5869580008139</v>
      </c>
      <c r="Y171" s="470">
        <f t="shared" si="64"/>
        <v>11242.482965732001</v>
      </c>
      <c r="Z171" s="470">
        <f t="shared" si="65"/>
        <v>260.27341634882242</v>
      </c>
    </row>
    <row r="172" spans="1:26" ht="15" customHeight="1" x14ac:dyDescent="0.3">
      <c r="A172" s="463">
        <f t="shared" si="74"/>
        <v>14</v>
      </c>
      <c r="B172" s="463">
        <f t="shared" si="73"/>
        <v>2032</v>
      </c>
      <c r="C172" s="479">
        <v>10013</v>
      </c>
      <c r="D172" s="480">
        <v>527</v>
      </c>
      <c r="E172" s="483">
        <v>1.1000000000000001</v>
      </c>
      <c r="F172" s="466">
        <f t="shared" si="66"/>
        <v>4020219.5000000005</v>
      </c>
      <c r="G172" s="466">
        <f t="shared" si="67"/>
        <v>211590.50000000003</v>
      </c>
      <c r="H172" s="467">
        <f t="shared" si="61"/>
        <v>0.20622503874367751</v>
      </c>
      <c r="I172" s="467">
        <f t="shared" si="61"/>
        <v>1.7032621872075411</v>
      </c>
      <c r="J172" s="467">
        <f t="shared" si="61"/>
        <v>7.0834704472671178E-2</v>
      </c>
      <c r="K172" s="467">
        <f t="shared" si="61"/>
        <v>1.2579005858404543E-2</v>
      </c>
      <c r="L172" s="468">
        <f t="shared" si="68"/>
        <v>433.07258136172277</v>
      </c>
      <c r="M172" s="468">
        <f t="shared" si="62"/>
        <v>14648.054809984853</v>
      </c>
      <c r="N172" s="468">
        <f t="shared" si="62"/>
        <v>27221.776928847536</v>
      </c>
      <c r="O172" s="468">
        <f t="shared" si="62"/>
        <v>630.20819350606757</v>
      </c>
      <c r="P172" s="468">
        <f t="shared" si="69"/>
        <v>1602.13787514</v>
      </c>
      <c r="Q172" s="468">
        <f t="shared" si="70"/>
        <v>44535.250388840177</v>
      </c>
      <c r="R172" s="469">
        <f t="shared" si="71"/>
        <v>17271.537933815744</v>
      </c>
      <c r="W172" s="470">
        <f t="shared" si="72"/>
        <v>167.95301366395429</v>
      </c>
      <c r="X172" s="470">
        <f t="shared" si="63"/>
        <v>5680.7682026788807</v>
      </c>
      <c r="Y172" s="470">
        <f t="shared" si="64"/>
        <v>10557.074424134718</v>
      </c>
      <c r="Z172" s="470">
        <f t="shared" si="65"/>
        <v>244.40560287203553</v>
      </c>
    </row>
    <row r="173" spans="1:26" ht="15" customHeight="1" x14ac:dyDescent="0.3">
      <c r="A173" s="463">
        <f t="shared" si="74"/>
        <v>15</v>
      </c>
      <c r="B173" s="463">
        <f t="shared" si="73"/>
        <v>2033</v>
      </c>
      <c r="C173" s="479">
        <v>10060.5</v>
      </c>
      <c r="D173" s="480">
        <v>529.5</v>
      </c>
      <c r="E173" s="483">
        <v>1.1000000000000001</v>
      </c>
      <c r="F173" s="466">
        <f t="shared" si="66"/>
        <v>4039290.7500000005</v>
      </c>
      <c r="G173" s="466">
        <f t="shared" si="67"/>
        <v>212594.25000000003</v>
      </c>
      <c r="H173" s="467">
        <f t="shared" si="61"/>
        <v>0.2072033358914179</v>
      </c>
      <c r="I173" s="467">
        <f t="shared" si="61"/>
        <v>1.7113421786079566</v>
      </c>
      <c r="J173" s="467">
        <f t="shared" si="61"/>
        <v>7.1170732482503579E-2</v>
      </c>
      <c r="K173" s="467">
        <f t="shared" si="61"/>
        <v>1.2638678561717657E-2</v>
      </c>
      <c r="L173" s="468">
        <f t="shared" si="68"/>
        <v>435.12700537197759</v>
      </c>
      <c r="M173" s="468">
        <f t="shared" si="62"/>
        <v>14717.542736028427</v>
      </c>
      <c r="N173" s="468">
        <f t="shared" si="62"/>
        <v>27350.912493026124</v>
      </c>
      <c r="O173" s="468">
        <f t="shared" si="62"/>
        <v>633.19779594205465</v>
      </c>
      <c r="P173" s="468">
        <f t="shared" si="69"/>
        <v>1609.73814969</v>
      </c>
      <c r="Q173" s="468">
        <f t="shared" si="70"/>
        <v>44746.518180058585</v>
      </c>
      <c r="R173" s="469">
        <f t="shared" si="71"/>
        <v>16218.197407216718</v>
      </c>
      <c r="W173" s="470">
        <f t="shared" si="72"/>
        <v>157.71005113597292</v>
      </c>
      <c r="X173" s="470">
        <f t="shared" si="63"/>
        <v>5334.3147835898271</v>
      </c>
      <c r="Y173" s="470">
        <f t="shared" si="64"/>
        <v>9913.2293666838068</v>
      </c>
      <c r="Z173" s="470">
        <f t="shared" si="65"/>
        <v>229.50002078551279</v>
      </c>
    </row>
    <row r="174" spans="1:26" ht="15" customHeight="1" x14ac:dyDescent="0.3">
      <c r="A174" s="463">
        <f t="shared" si="74"/>
        <v>16</v>
      </c>
      <c r="B174" s="463">
        <f t="shared" si="73"/>
        <v>2034</v>
      </c>
      <c r="C174" s="479">
        <v>10108</v>
      </c>
      <c r="D174" s="480">
        <v>532</v>
      </c>
      <c r="E174" s="483">
        <v>1.1000000000000001</v>
      </c>
      <c r="F174" s="466">
        <f t="shared" si="66"/>
        <v>4058362.0000000005</v>
      </c>
      <c r="G174" s="466">
        <f t="shared" si="67"/>
        <v>213598.00000000003</v>
      </c>
      <c r="H174" s="467">
        <f t="shared" ref="H174:K189" si="75">($F174*H$8+$G174*H$11)/1000000*1.1015</f>
        <v>0.20818163303915832</v>
      </c>
      <c r="I174" s="467">
        <f t="shared" si="75"/>
        <v>1.7194221700083714</v>
      </c>
      <c r="J174" s="467">
        <f t="shared" si="75"/>
        <v>7.1506760492335994E-2</v>
      </c>
      <c r="K174" s="467">
        <f t="shared" si="75"/>
        <v>1.2698351265030773E-2</v>
      </c>
      <c r="L174" s="468">
        <f t="shared" si="68"/>
        <v>437.18142938223247</v>
      </c>
      <c r="M174" s="468">
        <f t="shared" si="68"/>
        <v>14787.030662071995</v>
      </c>
      <c r="N174" s="468">
        <f t="shared" si="68"/>
        <v>27480.048057204724</v>
      </c>
      <c r="O174" s="468">
        <f t="shared" si="68"/>
        <v>636.18739837804173</v>
      </c>
      <c r="P174" s="468">
        <f t="shared" si="69"/>
        <v>1617.33842424</v>
      </c>
      <c r="Q174" s="468">
        <f t="shared" si="70"/>
        <v>44957.785971276986</v>
      </c>
      <c r="R174" s="469">
        <f t="shared" si="71"/>
        <v>15228.757548806039</v>
      </c>
      <c r="W174" s="470">
        <f t="shared" si="72"/>
        <v>148.08847564593228</v>
      </c>
      <c r="X174" s="470">
        <f t="shared" si="63"/>
        <v>5008.8788839229173</v>
      </c>
      <c r="Y174" s="470">
        <f t="shared" si="64"/>
        <v>9308.4430260884219</v>
      </c>
      <c r="Z174" s="470">
        <f t="shared" si="65"/>
        <v>215.49868251284994</v>
      </c>
    </row>
    <row r="175" spans="1:26" ht="15" customHeight="1" x14ac:dyDescent="0.3">
      <c r="A175" s="463">
        <f t="shared" si="74"/>
        <v>17</v>
      </c>
      <c r="B175" s="463">
        <f t="shared" si="73"/>
        <v>2035</v>
      </c>
      <c r="C175" s="479">
        <v>10155.5</v>
      </c>
      <c r="D175" s="480">
        <v>534.5</v>
      </c>
      <c r="E175" s="483">
        <v>1.1000000000000001</v>
      </c>
      <c r="F175" s="466">
        <f t="shared" si="66"/>
        <v>4077433.2500000005</v>
      </c>
      <c r="G175" s="466">
        <f t="shared" si="67"/>
        <v>214601.75000000003</v>
      </c>
      <c r="H175" s="467">
        <f t="shared" si="75"/>
        <v>0.20915993018689871</v>
      </c>
      <c r="I175" s="467">
        <f t="shared" si="75"/>
        <v>1.7275021614087869</v>
      </c>
      <c r="J175" s="467">
        <f t="shared" si="75"/>
        <v>7.1842788502168381E-2</v>
      </c>
      <c r="K175" s="467">
        <f t="shared" si="75"/>
        <v>1.2758023968343888E-2</v>
      </c>
      <c r="L175" s="468">
        <f t="shared" ref="L175:O189" si="76">H175*L$7</f>
        <v>439.23585339248729</v>
      </c>
      <c r="M175" s="468">
        <f t="shared" si="76"/>
        <v>14856.518588115567</v>
      </c>
      <c r="N175" s="468">
        <f t="shared" si="76"/>
        <v>27609.183621383308</v>
      </c>
      <c r="O175" s="468">
        <f t="shared" si="76"/>
        <v>639.17700081402882</v>
      </c>
      <c r="P175" s="468">
        <f t="shared" si="69"/>
        <v>1624.9386987900002</v>
      </c>
      <c r="Q175" s="468">
        <f t="shared" si="70"/>
        <v>45169.053762495394</v>
      </c>
      <c r="R175" s="469">
        <f t="shared" si="71"/>
        <v>14299.365662702601</v>
      </c>
      <c r="W175" s="470">
        <f t="shared" si="72"/>
        <v>139.05082255770992</v>
      </c>
      <c r="X175" s="470">
        <f t="shared" si="63"/>
        <v>4703.1933164514076</v>
      </c>
      <c r="Y175" s="470">
        <f t="shared" si="64"/>
        <v>8740.3604761511142</v>
      </c>
      <c r="Z175" s="470">
        <f t="shared" si="65"/>
        <v>202.34706943137923</v>
      </c>
    </row>
    <row r="176" spans="1:26" ht="15" customHeight="1" x14ac:dyDescent="0.3">
      <c r="A176" s="463">
        <f t="shared" si="74"/>
        <v>18</v>
      </c>
      <c r="B176" s="463">
        <f t="shared" si="73"/>
        <v>2036</v>
      </c>
      <c r="C176" s="479">
        <v>10203</v>
      </c>
      <c r="D176" s="480">
        <v>537</v>
      </c>
      <c r="E176" s="483">
        <v>1.1000000000000001</v>
      </c>
      <c r="F176" s="466">
        <f t="shared" si="66"/>
        <v>4096504.5000000005</v>
      </c>
      <c r="G176" s="466">
        <f t="shared" si="67"/>
        <v>215605.50000000003</v>
      </c>
      <c r="H176" s="467">
        <f t="shared" si="75"/>
        <v>0.21013822733463913</v>
      </c>
      <c r="I176" s="467">
        <f t="shared" si="75"/>
        <v>1.7355821528092024</v>
      </c>
      <c r="J176" s="467">
        <f t="shared" si="75"/>
        <v>7.2178816512000796E-2</v>
      </c>
      <c r="K176" s="467">
        <f t="shared" si="75"/>
        <v>1.2817696671657001E-2</v>
      </c>
      <c r="L176" s="468">
        <f t="shared" si="76"/>
        <v>441.29027740274216</v>
      </c>
      <c r="M176" s="468">
        <f t="shared" si="76"/>
        <v>14926.00651415914</v>
      </c>
      <c r="N176" s="468">
        <f t="shared" si="76"/>
        <v>27738.319185561904</v>
      </c>
      <c r="O176" s="468">
        <f t="shared" si="76"/>
        <v>642.16660325001578</v>
      </c>
      <c r="P176" s="468">
        <f t="shared" si="69"/>
        <v>1632.5389733400002</v>
      </c>
      <c r="Q176" s="468">
        <f t="shared" si="70"/>
        <v>45380.321553713802</v>
      </c>
      <c r="R176" s="469">
        <f t="shared" si="71"/>
        <v>13426.399658815202</v>
      </c>
      <c r="W176" s="470">
        <f t="shared" si="72"/>
        <v>130.56186970701978</v>
      </c>
      <c r="X176" s="470">
        <f t="shared" si="63"/>
        <v>4416.0667423208106</v>
      </c>
      <c r="Y176" s="470">
        <f t="shared" si="64"/>
        <v>8206.767746418871</v>
      </c>
      <c r="Z176" s="470">
        <f t="shared" si="65"/>
        <v>189.99392616848766</v>
      </c>
    </row>
    <row r="177" spans="1:26" ht="15" customHeight="1" x14ac:dyDescent="0.3">
      <c r="A177" s="463">
        <f t="shared" si="74"/>
        <v>19</v>
      </c>
      <c r="B177" s="463">
        <f t="shared" si="73"/>
        <v>2037</v>
      </c>
      <c r="C177" s="479">
        <v>10250.5</v>
      </c>
      <c r="D177" s="480">
        <v>539.5</v>
      </c>
      <c r="E177" s="483">
        <v>1.1000000000000001</v>
      </c>
      <c r="F177" s="466">
        <f t="shared" si="66"/>
        <v>4115575.7500000005</v>
      </c>
      <c r="G177" s="466">
        <f t="shared" si="67"/>
        <v>216609.25000000003</v>
      </c>
      <c r="H177" s="467">
        <f t="shared" si="75"/>
        <v>0.21111652448237953</v>
      </c>
      <c r="I177" s="467">
        <f t="shared" si="75"/>
        <v>1.7436621442096174</v>
      </c>
      <c r="J177" s="467">
        <f t="shared" si="75"/>
        <v>7.2514844521833211E-2</v>
      </c>
      <c r="K177" s="467">
        <f t="shared" si="75"/>
        <v>1.2877369374970115E-2</v>
      </c>
      <c r="L177" s="468">
        <f t="shared" si="76"/>
        <v>443.34470141299698</v>
      </c>
      <c r="M177" s="468">
        <f t="shared" si="76"/>
        <v>14995.49444020271</v>
      </c>
      <c r="N177" s="468">
        <f t="shared" si="76"/>
        <v>27867.454749740504</v>
      </c>
      <c r="O177" s="468">
        <f t="shared" si="76"/>
        <v>645.15620568600275</v>
      </c>
      <c r="P177" s="468">
        <f t="shared" si="69"/>
        <v>1640.1392478900002</v>
      </c>
      <c r="Q177" s="468">
        <f t="shared" si="70"/>
        <v>45591.589344932218</v>
      </c>
      <c r="R177" s="469">
        <f t="shared" si="71"/>
        <v>12606.454369081959</v>
      </c>
      <c r="W177" s="470">
        <f t="shared" si="72"/>
        <v>122.58850433689616</v>
      </c>
      <c r="X177" s="470">
        <f t="shared" si="63"/>
        <v>4146.3791703337629</v>
      </c>
      <c r="Y177" s="470">
        <f t="shared" si="64"/>
        <v>7705.5834581057479</v>
      </c>
      <c r="Z177" s="470">
        <f t="shared" si="65"/>
        <v>178.39106696583491</v>
      </c>
    </row>
    <row r="178" spans="1:26" ht="15" customHeight="1" x14ac:dyDescent="0.3">
      <c r="A178" s="463">
        <f t="shared" si="74"/>
        <v>20</v>
      </c>
      <c r="B178" s="463">
        <f t="shared" si="73"/>
        <v>2038</v>
      </c>
      <c r="C178" s="479">
        <v>10298</v>
      </c>
      <c r="D178" s="480">
        <v>542</v>
      </c>
      <c r="E178" s="483">
        <v>1.1000000000000001</v>
      </c>
      <c r="F178" s="466">
        <f t="shared" si="66"/>
        <v>4134647.0000000005</v>
      </c>
      <c r="G178" s="466">
        <f t="shared" si="67"/>
        <v>217613.00000000003</v>
      </c>
      <c r="H178" s="467">
        <f t="shared" si="75"/>
        <v>0.21209482163011992</v>
      </c>
      <c r="I178" s="467">
        <f t="shared" si="75"/>
        <v>1.7517421356100329</v>
      </c>
      <c r="J178" s="467">
        <f t="shared" si="75"/>
        <v>7.2850872531665598E-2</v>
      </c>
      <c r="K178" s="467">
        <f t="shared" si="75"/>
        <v>1.2937042078283232E-2</v>
      </c>
      <c r="L178" s="468">
        <f t="shared" si="76"/>
        <v>445.3991254232518</v>
      </c>
      <c r="M178" s="468">
        <f t="shared" si="76"/>
        <v>15064.982366246282</v>
      </c>
      <c r="N178" s="468">
        <f t="shared" si="76"/>
        <v>27996.590313919089</v>
      </c>
      <c r="O178" s="468">
        <f t="shared" si="76"/>
        <v>648.14580812198994</v>
      </c>
      <c r="P178" s="468">
        <f t="shared" si="69"/>
        <v>1647.73952244</v>
      </c>
      <c r="Q178" s="468">
        <f t="shared" si="70"/>
        <v>45802.857136150611</v>
      </c>
      <c r="R178" s="469">
        <f t="shared" si="71"/>
        <v>11836.32866715013</v>
      </c>
      <c r="W178" s="470">
        <f t="shared" si="72"/>
        <v>115.09959784604597</v>
      </c>
      <c r="X178" s="470">
        <f t="shared" si="63"/>
        <v>3893.0777204938804</v>
      </c>
      <c r="Y178" s="470">
        <f t="shared" si="64"/>
        <v>7234.8509511113862</v>
      </c>
      <c r="Z178" s="470">
        <f t="shared" si="65"/>
        <v>167.49319341287372</v>
      </c>
    </row>
    <row r="179" spans="1:26" ht="15" customHeight="1" x14ac:dyDescent="0.3">
      <c r="A179" s="463">
        <f t="shared" si="74"/>
        <v>21</v>
      </c>
      <c r="B179" s="463">
        <f t="shared" si="73"/>
        <v>2039</v>
      </c>
      <c r="C179" s="479">
        <v>10336</v>
      </c>
      <c r="D179" s="480">
        <v>544</v>
      </c>
      <c r="E179" s="483">
        <v>1.1000000000000001</v>
      </c>
      <c r="F179" s="466">
        <f t="shared" si="66"/>
        <v>4149904</v>
      </c>
      <c r="G179" s="466">
        <f t="shared" si="67"/>
        <v>218416.00000000003</v>
      </c>
      <c r="H179" s="467">
        <f t="shared" si="75"/>
        <v>0.21287745934831226</v>
      </c>
      <c r="I179" s="467">
        <f t="shared" si="75"/>
        <v>1.7582061287303647</v>
      </c>
      <c r="J179" s="467">
        <f t="shared" si="75"/>
        <v>7.3119694939531521E-2</v>
      </c>
      <c r="K179" s="467">
        <f t="shared" si="75"/>
        <v>1.298478024093372E-2</v>
      </c>
      <c r="L179" s="468">
        <f t="shared" si="76"/>
        <v>447.04266463145575</v>
      </c>
      <c r="M179" s="468">
        <f t="shared" si="76"/>
        <v>15120.572707081137</v>
      </c>
      <c r="N179" s="468">
        <f t="shared" si="76"/>
        <v>28099.898765261965</v>
      </c>
      <c r="O179" s="468">
        <f t="shared" si="76"/>
        <v>650.53749007077943</v>
      </c>
      <c r="P179" s="468">
        <f t="shared" si="69"/>
        <v>1653.81974208</v>
      </c>
      <c r="Q179" s="468">
        <f t="shared" si="70"/>
        <v>45971.871369125336</v>
      </c>
      <c r="R179" s="469">
        <f t="shared" si="71"/>
        <v>11102.80855766057</v>
      </c>
      <c r="W179" s="470">
        <f t="shared" si="72"/>
        <v>107.9666538404818</v>
      </c>
      <c r="X179" s="470">
        <f t="shared" si="63"/>
        <v>3651.8161877929965</v>
      </c>
      <c r="Y179" s="470">
        <f t="shared" si="64"/>
        <v>6786.4932879342587</v>
      </c>
      <c r="Z179" s="470">
        <f t="shared" si="65"/>
        <v>157.11331726834376</v>
      </c>
    </row>
    <row r="180" spans="1:26" ht="15" customHeight="1" x14ac:dyDescent="0.3">
      <c r="A180" s="463">
        <f t="shared" si="74"/>
        <v>22</v>
      </c>
      <c r="B180" s="463">
        <f t="shared" si="73"/>
        <v>2040</v>
      </c>
      <c r="C180" s="479">
        <v>10383.5</v>
      </c>
      <c r="D180" s="480">
        <v>546.5</v>
      </c>
      <c r="E180" s="483">
        <v>1.1000000000000001</v>
      </c>
      <c r="F180" s="466">
        <f t="shared" si="66"/>
        <v>4168975.25</v>
      </c>
      <c r="G180" s="466">
        <f t="shared" si="67"/>
        <v>219419.75000000003</v>
      </c>
      <c r="H180" s="467">
        <f t="shared" si="75"/>
        <v>0.21385575649605265</v>
      </c>
      <c r="I180" s="467">
        <f t="shared" si="75"/>
        <v>1.7662861201307802</v>
      </c>
      <c r="J180" s="467">
        <f t="shared" si="75"/>
        <v>7.3455722949363936E-2</v>
      </c>
      <c r="K180" s="467">
        <f t="shared" si="75"/>
        <v>1.3044452944246833E-2</v>
      </c>
      <c r="L180" s="468">
        <f t="shared" si="76"/>
        <v>449.09708864171057</v>
      </c>
      <c r="M180" s="468">
        <f t="shared" si="76"/>
        <v>15190.060633124711</v>
      </c>
      <c r="N180" s="468">
        <f t="shared" si="76"/>
        <v>28229.034329440561</v>
      </c>
      <c r="O180" s="468">
        <f t="shared" si="76"/>
        <v>653.52709250676639</v>
      </c>
      <c r="P180" s="468">
        <f t="shared" si="69"/>
        <v>1661.42001663</v>
      </c>
      <c r="Q180" s="468">
        <f t="shared" si="70"/>
        <v>46183.139160343751</v>
      </c>
      <c r="R180" s="469">
        <f t="shared" si="71"/>
        <v>10424.142517800821</v>
      </c>
      <c r="W180" s="470">
        <f t="shared" si="72"/>
        <v>101.36712535016372</v>
      </c>
      <c r="X180" s="470">
        <f t="shared" si="63"/>
        <v>3428.5966647692294</v>
      </c>
      <c r="Y180" s="470">
        <f t="shared" si="64"/>
        <v>6371.6646884553202</v>
      </c>
      <c r="Z180" s="470">
        <f t="shared" si="65"/>
        <v>147.50966858017773</v>
      </c>
    </row>
    <row r="181" spans="1:26" ht="15" customHeight="1" x14ac:dyDescent="0.3">
      <c r="A181" s="463">
        <f t="shared" si="74"/>
        <v>23</v>
      </c>
      <c r="B181" s="463">
        <f t="shared" si="73"/>
        <v>2041</v>
      </c>
      <c r="C181" s="479">
        <v>10431</v>
      </c>
      <c r="D181" s="480">
        <v>549</v>
      </c>
      <c r="E181" s="483">
        <v>1.1000000000000001</v>
      </c>
      <c r="F181" s="466">
        <f t="shared" si="66"/>
        <v>4188046.5</v>
      </c>
      <c r="G181" s="466">
        <f t="shared" si="67"/>
        <v>220423.50000000003</v>
      </c>
      <c r="H181" s="467">
        <f t="shared" si="75"/>
        <v>0.21483405364379304</v>
      </c>
      <c r="I181" s="467">
        <f t="shared" si="75"/>
        <v>1.7743661115311953</v>
      </c>
      <c r="J181" s="467">
        <f t="shared" si="75"/>
        <v>7.3791750959196337E-2</v>
      </c>
      <c r="K181" s="467">
        <f t="shared" si="75"/>
        <v>1.310412564755995E-2</v>
      </c>
      <c r="L181" s="468">
        <f t="shared" si="76"/>
        <v>451.15151265196539</v>
      </c>
      <c r="M181" s="468">
        <f t="shared" si="76"/>
        <v>15259.548559168279</v>
      </c>
      <c r="N181" s="468">
        <f t="shared" si="76"/>
        <v>28358.169893619153</v>
      </c>
      <c r="O181" s="468">
        <f t="shared" si="76"/>
        <v>656.51669494275347</v>
      </c>
      <c r="P181" s="468">
        <f t="shared" si="69"/>
        <v>1669.0202911799997</v>
      </c>
      <c r="Q181" s="468">
        <f t="shared" si="70"/>
        <v>46394.406951562152</v>
      </c>
      <c r="R181" s="469">
        <f t="shared" si="71"/>
        <v>9786.75555108148</v>
      </c>
      <c r="W181" s="470">
        <f t="shared" si="72"/>
        <v>95.16900551041013</v>
      </c>
      <c r="X181" s="470">
        <f t="shared" si="63"/>
        <v>3218.9542098114707</v>
      </c>
      <c r="Y181" s="470">
        <f t="shared" si="64"/>
        <v>5982.0675564329858</v>
      </c>
      <c r="Z181" s="470">
        <f t="shared" si="65"/>
        <v>138.49015066227324</v>
      </c>
    </row>
    <row r="182" spans="1:26" ht="15" customHeight="1" x14ac:dyDescent="0.3">
      <c r="A182" s="463">
        <f t="shared" si="74"/>
        <v>24</v>
      </c>
      <c r="B182" s="463">
        <f t="shared" si="73"/>
        <v>2042</v>
      </c>
      <c r="C182" s="479">
        <v>10478.5</v>
      </c>
      <c r="D182" s="480">
        <v>551.5</v>
      </c>
      <c r="E182" s="483">
        <v>1.1000000000000001</v>
      </c>
      <c r="F182" s="466">
        <f t="shared" si="66"/>
        <v>4207117.75</v>
      </c>
      <c r="G182" s="466">
        <f t="shared" si="67"/>
        <v>221427.25000000003</v>
      </c>
      <c r="H182" s="467">
        <f t="shared" si="75"/>
        <v>0.21581235079153344</v>
      </c>
      <c r="I182" s="467">
        <f t="shared" si="75"/>
        <v>1.7824461029316108</v>
      </c>
      <c r="J182" s="467">
        <f t="shared" si="75"/>
        <v>7.4127778969028751E-2</v>
      </c>
      <c r="K182" s="467">
        <f t="shared" si="75"/>
        <v>1.3163798350873064E-2</v>
      </c>
      <c r="L182" s="468">
        <f t="shared" si="76"/>
        <v>453.20593666222021</v>
      </c>
      <c r="M182" s="468">
        <f t="shared" si="76"/>
        <v>15329.036485211853</v>
      </c>
      <c r="N182" s="468">
        <f t="shared" si="76"/>
        <v>28487.305457797749</v>
      </c>
      <c r="O182" s="468">
        <f t="shared" si="76"/>
        <v>659.50629737874056</v>
      </c>
      <c r="P182" s="468">
        <f t="shared" si="69"/>
        <v>1676.62056573</v>
      </c>
      <c r="Q182" s="468">
        <f t="shared" si="70"/>
        <v>46605.674742780568</v>
      </c>
      <c r="R182" s="469">
        <f t="shared" si="71"/>
        <v>9188.151245972178</v>
      </c>
      <c r="W182" s="470">
        <f t="shared" si="72"/>
        <v>89.348018553685009</v>
      </c>
      <c r="X182" s="470">
        <f t="shared" si="63"/>
        <v>3022.0677301312944</v>
      </c>
      <c r="Y182" s="470">
        <f t="shared" si="64"/>
        <v>5616.1759824537248</v>
      </c>
      <c r="Z182" s="470">
        <f t="shared" si="65"/>
        <v>130.01943736316443</v>
      </c>
    </row>
    <row r="183" spans="1:26" ht="15" customHeight="1" x14ac:dyDescent="0.3">
      <c r="A183" s="463">
        <f t="shared" si="74"/>
        <v>25</v>
      </c>
      <c r="B183" s="463">
        <f t="shared" si="73"/>
        <v>2043</v>
      </c>
      <c r="C183" s="479">
        <v>10526</v>
      </c>
      <c r="D183" s="480">
        <v>554</v>
      </c>
      <c r="E183" s="483">
        <v>1.1000000000000001</v>
      </c>
      <c r="F183" s="466">
        <f t="shared" si="66"/>
        <v>4226189</v>
      </c>
      <c r="G183" s="466">
        <f t="shared" si="67"/>
        <v>222431.00000000003</v>
      </c>
      <c r="H183" s="467">
        <f t="shared" si="75"/>
        <v>0.21679064793927388</v>
      </c>
      <c r="I183" s="467">
        <f t="shared" si="75"/>
        <v>1.790526094332026</v>
      </c>
      <c r="J183" s="467">
        <f t="shared" si="75"/>
        <v>7.4463806978861138E-2</v>
      </c>
      <c r="K183" s="467">
        <f t="shared" si="75"/>
        <v>1.3223471054186179E-2</v>
      </c>
      <c r="L183" s="468">
        <f t="shared" si="76"/>
        <v>455.26036067247514</v>
      </c>
      <c r="M183" s="468">
        <f t="shared" si="76"/>
        <v>15398.524411255425</v>
      </c>
      <c r="N183" s="468">
        <f t="shared" si="76"/>
        <v>28616.441021976334</v>
      </c>
      <c r="O183" s="468">
        <f t="shared" si="76"/>
        <v>662.49589981472752</v>
      </c>
      <c r="P183" s="468">
        <f t="shared" si="69"/>
        <v>1684.2208402799999</v>
      </c>
      <c r="Q183" s="468">
        <f t="shared" si="70"/>
        <v>46816.942533998961</v>
      </c>
      <c r="R183" s="469">
        <f t="shared" si="71"/>
        <v>8625.9831559952636</v>
      </c>
      <c r="W183" s="470">
        <f t="shared" si="72"/>
        <v>83.881347012381696</v>
      </c>
      <c r="X183" s="470">
        <f t="shared" si="63"/>
        <v>2837.1654578299404</v>
      </c>
      <c r="Y183" s="470">
        <f t="shared" si="64"/>
        <v>5272.5557219128168</v>
      </c>
      <c r="Z183" s="470">
        <f t="shared" si="65"/>
        <v>122.06432465271958</v>
      </c>
    </row>
    <row r="184" spans="1:26" ht="15" customHeight="1" x14ac:dyDescent="0.3">
      <c r="A184" s="463">
        <f t="shared" si="74"/>
        <v>26</v>
      </c>
      <c r="B184" s="463">
        <f t="shared" si="73"/>
        <v>2044</v>
      </c>
      <c r="C184" s="479">
        <v>10573.5</v>
      </c>
      <c r="D184" s="480">
        <v>556.5</v>
      </c>
      <c r="E184" s="483">
        <v>1.1000000000000001</v>
      </c>
      <c r="F184" s="466">
        <f t="shared" si="66"/>
        <v>4245260.25</v>
      </c>
      <c r="G184" s="466">
        <f t="shared" si="67"/>
        <v>223434.75000000003</v>
      </c>
      <c r="H184" s="467">
        <f t="shared" si="75"/>
        <v>0.21776894508701428</v>
      </c>
      <c r="I184" s="467">
        <f t="shared" si="75"/>
        <v>1.7986060857324413</v>
      </c>
      <c r="J184" s="467">
        <f t="shared" si="75"/>
        <v>7.4799834988693553E-2</v>
      </c>
      <c r="K184" s="467">
        <f t="shared" si="75"/>
        <v>1.3283143757499295E-2</v>
      </c>
      <c r="L184" s="468">
        <f t="shared" si="76"/>
        <v>457.31478468272996</v>
      </c>
      <c r="M184" s="468">
        <f t="shared" si="76"/>
        <v>15468.012337298995</v>
      </c>
      <c r="N184" s="468">
        <f t="shared" si="76"/>
        <v>28745.576586154933</v>
      </c>
      <c r="O184" s="468">
        <f t="shared" si="76"/>
        <v>665.48550225071472</v>
      </c>
      <c r="P184" s="468">
        <f t="shared" si="69"/>
        <v>1691.8211148299999</v>
      </c>
      <c r="Q184" s="468">
        <f t="shared" si="70"/>
        <v>47028.210325217377</v>
      </c>
      <c r="R184" s="469">
        <f t="shared" si="71"/>
        <v>8098.045862396446</v>
      </c>
      <c r="W184" s="470">
        <f t="shared" si="72"/>
        <v>78.747544809862703</v>
      </c>
      <c r="X184" s="470">
        <f t="shared" si="63"/>
        <v>2663.5220103282195</v>
      </c>
      <c r="Y184" s="470">
        <f t="shared" si="64"/>
        <v>4949.8587321510231</v>
      </c>
      <c r="Z184" s="470">
        <f t="shared" si="65"/>
        <v>114.59360415202683</v>
      </c>
    </row>
    <row r="185" spans="1:26" ht="15" customHeight="1" x14ac:dyDescent="0.3">
      <c r="A185" s="463">
        <f t="shared" si="74"/>
        <v>27</v>
      </c>
      <c r="B185" s="463">
        <f t="shared" si="73"/>
        <v>2045</v>
      </c>
      <c r="C185" s="479">
        <v>10621</v>
      </c>
      <c r="D185" s="480">
        <v>559</v>
      </c>
      <c r="E185" s="483">
        <v>1.1000000000000001</v>
      </c>
      <c r="F185" s="466">
        <f t="shared" si="66"/>
        <v>4264331.5</v>
      </c>
      <c r="G185" s="466">
        <f t="shared" si="67"/>
        <v>224438.50000000003</v>
      </c>
      <c r="H185" s="467">
        <f t="shared" si="75"/>
        <v>0.21874724223475467</v>
      </c>
      <c r="I185" s="467">
        <f t="shared" si="75"/>
        <v>1.8066860771328563</v>
      </c>
      <c r="J185" s="467">
        <f t="shared" si="75"/>
        <v>7.5135862998525968E-2</v>
      </c>
      <c r="K185" s="467">
        <f t="shared" si="75"/>
        <v>1.3342816460812408E-2</v>
      </c>
      <c r="L185" s="468">
        <f t="shared" si="76"/>
        <v>459.36920869298478</v>
      </c>
      <c r="M185" s="468">
        <f t="shared" si="76"/>
        <v>15537.500263342565</v>
      </c>
      <c r="N185" s="468">
        <f t="shared" si="76"/>
        <v>28874.712150333529</v>
      </c>
      <c r="O185" s="468">
        <f t="shared" si="76"/>
        <v>668.47510468670168</v>
      </c>
      <c r="P185" s="468">
        <f t="shared" si="69"/>
        <v>1699.4213893799999</v>
      </c>
      <c r="Q185" s="468">
        <f t="shared" si="70"/>
        <v>47239.478116435777</v>
      </c>
      <c r="R185" s="469">
        <f t="shared" si="71"/>
        <v>7602.2665643576956</v>
      </c>
      <c r="W185" s="470">
        <f t="shared" si="72"/>
        <v>73.926455481460792</v>
      </c>
      <c r="X185" s="470">
        <f t="shared" si="63"/>
        <v>2500.4556243099382</v>
      </c>
      <c r="Y185" s="470">
        <f t="shared" si="64"/>
        <v>4646.81803204679</v>
      </c>
      <c r="Z185" s="470">
        <f t="shared" si="65"/>
        <v>107.57794412841102</v>
      </c>
    </row>
    <row r="186" spans="1:26" ht="15" customHeight="1" x14ac:dyDescent="0.3">
      <c r="A186" s="463">
        <f t="shared" si="74"/>
        <v>28</v>
      </c>
      <c r="B186" s="463">
        <f t="shared" si="73"/>
        <v>2046</v>
      </c>
      <c r="C186" s="479">
        <v>10668.5</v>
      </c>
      <c r="D186" s="480">
        <v>561.5</v>
      </c>
      <c r="E186" s="483">
        <v>1.1000000000000001</v>
      </c>
      <c r="F186" s="466">
        <f t="shared" si="66"/>
        <v>4283402.75</v>
      </c>
      <c r="G186" s="466">
        <f t="shared" si="67"/>
        <v>225442.25000000003</v>
      </c>
      <c r="H186" s="467">
        <f t="shared" si="75"/>
        <v>0.21972553938249509</v>
      </c>
      <c r="I186" s="467">
        <f t="shared" si="75"/>
        <v>1.8147660685332718</v>
      </c>
      <c r="J186" s="467">
        <f t="shared" si="75"/>
        <v>7.5471891008358369E-2</v>
      </c>
      <c r="K186" s="467">
        <f t="shared" si="75"/>
        <v>1.3402489164125522E-2</v>
      </c>
      <c r="L186" s="468">
        <f t="shared" si="76"/>
        <v>461.42363270323966</v>
      </c>
      <c r="M186" s="468">
        <f t="shared" si="76"/>
        <v>15606.988189386138</v>
      </c>
      <c r="N186" s="468">
        <f t="shared" si="76"/>
        <v>29003.847714512121</v>
      </c>
      <c r="O186" s="468">
        <f t="shared" si="76"/>
        <v>671.46470712268865</v>
      </c>
      <c r="P186" s="468">
        <f t="shared" si="69"/>
        <v>1707.0216639299999</v>
      </c>
      <c r="Q186" s="468">
        <f t="shared" si="70"/>
        <v>47450.745907654185</v>
      </c>
      <c r="R186" s="469">
        <f t="shared" si="71"/>
        <v>7136.6971659787123</v>
      </c>
      <c r="W186" s="470">
        <f t="shared" si="72"/>
        <v>69.399135226188704</v>
      </c>
      <c r="X186" s="470">
        <f t="shared" si="63"/>
        <v>2347.3255530570791</v>
      </c>
      <c r="Y186" s="470">
        <f t="shared" si="64"/>
        <v>4362.2428652538292</v>
      </c>
      <c r="Z186" s="470">
        <f t="shared" si="65"/>
        <v>100.98977752010899</v>
      </c>
    </row>
    <row r="187" spans="1:26" ht="15" customHeight="1" x14ac:dyDescent="0.3">
      <c r="A187" s="463">
        <f t="shared" si="74"/>
        <v>29</v>
      </c>
      <c r="B187" s="463">
        <f t="shared" si="73"/>
        <v>2047</v>
      </c>
      <c r="C187" s="479">
        <v>10716</v>
      </c>
      <c r="D187" s="480">
        <v>564</v>
      </c>
      <c r="E187" s="483">
        <v>1.1000000000000001</v>
      </c>
      <c r="F187" s="466">
        <f t="shared" si="66"/>
        <v>4302474</v>
      </c>
      <c r="G187" s="466">
        <f t="shared" si="67"/>
        <v>226446.00000000003</v>
      </c>
      <c r="H187" s="467">
        <f t="shared" si="75"/>
        <v>0.22070383653023548</v>
      </c>
      <c r="I187" s="467">
        <f t="shared" si="75"/>
        <v>1.8228460599336871</v>
      </c>
      <c r="J187" s="467">
        <f t="shared" si="75"/>
        <v>7.580791901819077E-2</v>
      </c>
      <c r="K187" s="467">
        <f t="shared" si="75"/>
        <v>1.3462161867438637E-2</v>
      </c>
      <c r="L187" s="468">
        <f t="shared" si="76"/>
        <v>463.47805671349448</v>
      </c>
      <c r="M187" s="468">
        <f t="shared" si="76"/>
        <v>15676.476115429708</v>
      </c>
      <c r="N187" s="468">
        <f t="shared" si="76"/>
        <v>29132.983278690714</v>
      </c>
      <c r="O187" s="468">
        <f t="shared" si="76"/>
        <v>674.45430955867573</v>
      </c>
      <c r="P187" s="468">
        <f t="shared" si="69"/>
        <v>1714.6219384799999</v>
      </c>
      <c r="Q187" s="468">
        <f t="shared" si="70"/>
        <v>47662.013698872594</v>
      </c>
      <c r="R187" s="469">
        <f t="shared" si="71"/>
        <v>6699.5068310217021</v>
      </c>
      <c r="W187" s="470">
        <f t="shared" si="72"/>
        <v>65.147780507103676</v>
      </c>
      <c r="X187" s="470">
        <f t="shared" si="63"/>
        <v>2203.5296176366583</v>
      </c>
      <c r="Y187" s="470">
        <f t="shared" si="64"/>
        <v>4095.0141493548813</v>
      </c>
      <c r="Z187" s="470">
        <f t="shared" si="65"/>
        <v>94.803196580157405</v>
      </c>
    </row>
    <row r="188" spans="1:26" ht="15" customHeight="1" x14ac:dyDescent="0.3">
      <c r="A188" s="463">
        <f t="shared" si="74"/>
        <v>30</v>
      </c>
      <c r="B188" s="463">
        <f t="shared" si="73"/>
        <v>2048</v>
      </c>
      <c r="C188" s="479">
        <v>10763.5</v>
      </c>
      <c r="D188" s="480">
        <v>566.5</v>
      </c>
      <c r="E188" s="483">
        <v>1.1000000000000001</v>
      </c>
      <c r="F188" s="466">
        <f t="shared" si="66"/>
        <v>4321545.25</v>
      </c>
      <c r="G188" s="466">
        <f t="shared" si="67"/>
        <v>227449.75000000003</v>
      </c>
      <c r="H188" s="467">
        <f t="shared" si="75"/>
        <v>0.22168213367797587</v>
      </c>
      <c r="I188" s="467">
        <f t="shared" si="75"/>
        <v>1.8309260513341026</v>
      </c>
      <c r="J188" s="467">
        <f t="shared" si="75"/>
        <v>7.6143947028023184E-2</v>
      </c>
      <c r="K188" s="467">
        <f t="shared" si="75"/>
        <v>1.3521834570751755E-2</v>
      </c>
      <c r="L188" s="468">
        <f t="shared" si="76"/>
        <v>465.53248072374936</v>
      </c>
      <c r="M188" s="468">
        <f t="shared" si="76"/>
        <v>15745.964041473282</v>
      </c>
      <c r="N188" s="468">
        <f t="shared" si="76"/>
        <v>29262.118842869309</v>
      </c>
      <c r="O188" s="468">
        <f t="shared" si="76"/>
        <v>677.44391199466293</v>
      </c>
      <c r="P188" s="468">
        <f t="shared" si="69"/>
        <v>1722.2222130299999</v>
      </c>
      <c r="Q188" s="468">
        <f t="shared" si="70"/>
        <v>47873.281490091002</v>
      </c>
      <c r="R188" s="469">
        <f t="shared" si="71"/>
        <v>6288.97497808344</v>
      </c>
      <c r="W188" s="470">
        <f t="shared" si="72"/>
        <v>61.155659934503603</v>
      </c>
      <c r="X188" s="470">
        <f t="shared" si="63"/>
        <v>2068.5019029481791</v>
      </c>
      <c r="Y188" s="470">
        <f t="shared" si="64"/>
        <v>3844.0801942227426</v>
      </c>
      <c r="Z188" s="470">
        <f t="shared" si="65"/>
        <v>88.99385375266651</v>
      </c>
    </row>
    <row r="189" spans="1:26" ht="15" customHeight="1" x14ac:dyDescent="0.3">
      <c r="A189" s="463">
        <f t="shared" si="74"/>
        <v>31</v>
      </c>
      <c r="B189" s="463">
        <f t="shared" si="73"/>
        <v>2049</v>
      </c>
      <c r="C189" s="481">
        <v>10763.5</v>
      </c>
      <c r="D189" s="482">
        <v>566.5</v>
      </c>
      <c r="E189" s="483">
        <v>1.1000000000000001</v>
      </c>
      <c r="F189" s="466">
        <f t="shared" si="66"/>
        <v>4321545.25</v>
      </c>
      <c r="G189" s="466">
        <f t="shared" si="67"/>
        <v>227449.75000000003</v>
      </c>
      <c r="H189" s="467">
        <f t="shared" si="75"/>
        <v>0.22168213367797587</v>
      </c>
      <c r="I189" s="467">
        <f t="shared" si="75"/>
        <v>1.8309260513341026</v>
      </c>
      <c r="J189" s="467">
        <f t="shared" si="75"/>
        <v>7.6143947028023184E-2</v>
      </c>
      <c r="K189" s="467">
        <f t="shared" si="75"/>
        <v>1.3521834570751755E-2</v>
      </c>
      <c r="L189" s="468">
        <f t="shared" si="76"/>
        <v>465.53248072374936</v>
      </c>
      <c r="M189" s="468">
        <f t="shared" si="76"/>
        <v>15745.964041473282</v>
      </c>
      <c r="N189" s="468">
        <f t="shared" si="76"/>
        <v>29262.118842869309</v>
      </c>
      <c r="O189" s="468">
        <f t="shared" si="76"/>
        <v>677.44391199466293</v>
      </c>
      <c r="P189" s="468">
        <f t="shared" si="69"/>
        <v>1722.2222130299999</v>
      </c>
      <c r="Q189" s="468">
        <f t="shared" si="70"/>
        <v>47873.281490091002</v>
      </c>
      <c r="R189" s="469">
        <f t="shared" si="71"/>
        <v>5877.5467084891952</v>
      </c>
      <c r="W189" s="470">
        <f t="shared" si="72"/>
        <v>57.154822368694944</v>
      </c>
      <c r="X189" s="470">
        <f t="shared" si="63"/>
        <v>1933.1793485496996</v>
      </c>
      <c r="Y189" s="470">
        <f t="shared" si="64"/>
        <v>3592.5983123577025</v>
      </c>
      <c r="Z189" s="470">
        <f t="shared" si="65"/>
        <v>83.171825937071489</v>
      </c>
    </row>
    <row r="190" spans="1:26" ht="15" customHeight="1" x14ac:dyDescent="0.3">
      <c r="A190" s="307" t="s">
        <v>40</v>
      </c>
      <c r="B190" s="308"/>
      <c r="C190" s="308"/>
      <c r="D190" s="308"/>
      <c r="E190" s="308"/>
      <c r="F190" s="308"/>
      <c r="G190" s="308"/>
      <c r="H190" s="308"/>
      <c r="I190" s="308"/>
      <c r="J190" s="308"/>
      <c r="K190" s="308"/>
      <c r="L190" s="308"/>
      <c r="M190" s="308"/>
      <c r="N190" s="308"/>
      <c r="O190" s="308"/>
      <c r="P190" s="308"/>
      <c r="Q190" s="308"/>
      <c r="R190" s="309">
        <f>SUM(R158:R187)</f>
        <v>336243.13800377614</v>
      </c>
      <c r="W190" s="475">
        <f>SUM(W158:W187)</f>
        <v>3269.7174141621263</v>
      </c>
      <c r="X190" s="475">
        <f>SUM(X158:X187)</f>
        <v>110593.47083394455</v>
      </c>
      <c r="Y190" s="475">
        <f>SUM(Y158:Y187)</f>
        <v>205525.63680854742</v>
      </c>
      <c r="Z190" s="475">
        <f>SUM(Z158:Z187)</f>
        <v>4758.1001281014633</v>
      </c>
    </row>
    <row r="192" spans="1:26" ht="15" customHeight="1" x14ac:dyDescent="0.25">
      <c r="A192" s="581" t="s">
        <v>178</v>
      </c>
      <c r="B192" s="582"/>
      <c r="C192" s="582"/>
      <c r="D192" s="582"/>
      <c r="E192" s="582"/>
      <c r="F192" s="582"/>
      <c r="G192" s="582"/>
      <c r="H192" s="582"/>
      <c r="I192" s="582"/>
      <c r="J192" s="582"/>
      <c r="K192" s="582"/>
      <c r="L192" s="582"/>
      <c r="M192" s="582"/>
      <c r="N192" s="582"/>
      <c r="O192" s="582"/>
      <c r="P192" s="582"/>
      <c r="Q192" s="582"/>
      <c r="R192" s="582"/>
    </row>
    <row r="193" spans="1:26" ht="15" customHeight="1" x14ac:dyDescent="0.3">
      <c r="A193" s="476" t="s">
        <v>145</v>
      </c>
      <c r="B193" s="476" t="s">
        <v>146</v>
      </c>
      <c r="C193" s="476" t="s">
        <v>147</v>
      </c>
      <c r="D193" s="476" t="s">
        <v>148</v>
      </c>
      <c r="E193" s="476" t="s">
        <v>149</v>
      </c>
      <c r="F193" s="476" t="s">
        <v>150</v>
      </c>
      <c r="G193" s="476" t="s">
        <v>151</v>
      </c>
      <c r="H193" s="476" t="s">
        <v>152</v>
      </c>
      <c r="I193" s="476" t="s">
        <v>153</v>
      </c>
      <c r="J193" s="476" t="s">
        <v>154</v>
      </c>
      <c r="K193" s="476" t="s">
        <v>155</v>
      </c>
      <c r="L193" s="476" t="s">
        <v>88</v>
      </c>
      <c r="M193" s="476" t="s">
        <v>156</v>
      </c>
      <c r="N193" s="476" t="s">
        <v>157</v>
      </c>
      <c r="O193" s="476" t="s">
        <v>158</v>
      </c>
      <c r="P193" s="477" t="s">
        <v>159</v>
      </c>
      <c r="Q193" s="477" t="s">
        <v>192</v>
      </c>
      <c r="R193" s="477" t="s">
        <v>160</v>
      </c>
    </row>
    <row r="194" spans="1:26" ht="15" customHeight="1" x14ac:dyDescent="0.3">
      <c r="A194" s="151" t="s">
        <v>193</v>
      </c>
      <c r="B194" s="151" t="s">
        <v>250</v>
      </c>
      <c r="C194" s="151" t="s">
        <v>251</v>
      </c>
      <c r="D194" s="151"/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2"/>
    </row>
    <row r="195" spans="1:26" ht="15" customHeight="1" x14ac:dyDescent="0.3">
      <c r="A195" s="151" t="s">
        <v>196</v>
      </c>
      <c r="B195" s="151" t="s">
        <v>252</v>
      </c>
      <c r="C195" s="151"/>
      <c r="D195" s="151"/>
      <c r="E195" s="151"/>
      <c r="F195" s="151"/>
      <c r="G195" s="151"/>
      <c r="H195" s="151" t="s">
        <v>197</v>
      </c>
      <c r="I195" s="151"/>
      <c r="J195" s="151"/>
      <c r="K195" s="151"/>
      <c r="L195" s="151" t="s">
        <v>198</v>
      </c>
      <c r="M195" s="151"/>
      <c r="N195" s="151"/>
      <c r="O195" s="151"/>
      <c r="P195" s="453" t="s">
        <v>199</v>
      </c>
      <c r="Q195" s="454"/>
      <c r="R195" s="455"/>
    </row>
    <row r="196" spans="1:26" ht="15" customHeight="1" x14ac:dyDescent="0.3">
      <c r="A196" s="151" t="s">
        <v>200</v>
      </c>
      <c r="B196" s="151"/>
      <c r="C196" s="151">
        <v>2018</v>
      </c>
      <c r="D196" s="151"/>
      <c r="E196" s="151"/>
      <c r="F196" s="151"/>
      <c r="G196" s="151"/>
      <c r="H196" s="151" t="s">
        <v>201</v>
      </c>
      <c r="I196" s="151"/>
      <c r="J196" s="151"/>
      <c r="K196" s="151"/>
      <c r="L196" s="151" t="s">
        <v>202</v>
      </c>
      <c r="M196" s="151"/>
      <c r="N196" s="151"/>
      <c r="O196" s="151"/>
      <c r="P196" s="303" t="s">
        <v>203</v>
      </c>
      <c r="Q196" s="151"/>
      <c r="R196" s="153"/>
    </row>
    <row r="197" spans="1:26" ht="15" customHeight="1" x14ac:dyDescent="0.3">
      <c r="A197" s="151" t="s">
        <v>204</v>
      </c>
      <c r="B197" s="151"/>
      <c r="C197" s="151">
        <v>15950</v>
      </c>
      <c r="D197" s="151" t="s">
        <v>205</v>
      </c>
      <c r="E197" s="151"/>
      <c r="F197" s="151"/>
      <c r="G197" s="151"/>
      <c r="H197" s="151" t="s">
        <v>206</v>
      </c>
      <c r="I197" s="151"/>
      <c r="J197" s="151"/>
      <c r="K197" s="151"/>
      <c r="L197" s="151" t="s">
        <v>207</v>
      </c>
      <c r="M197" s="151" t="s">
        <v>208</v>
      </c>
      <c r="N197" s="151" t="s">
        <v>209</v>
      </c>
      <c r="O197" s="151" t="s">
        <v>210</v>
      </c>
      <c r="P197" s="456" t="s">
        <v>211</v>
      </c>
      <c r="Q197" s="457"/>
      <c r="R197" s="458"/>
    </row>
    <row r="198" spans="1:26" ht="15" customHeight="1" x14ac:dyDescent="0.3">
      <c r="A198" s="151" t="s">
        <v>212</v>
      </c>
      <c r="B198" s="151"/>
      <c r="C198" s="151">
        <v>15</v>
      </c>
      <c r="D198" s="151"/>
      <c r="E198" s="154"/>
      <c r="F198" s="151"/>
      <c r="G198" s="151"/>
      <c r="H198" s="151" t="s">
        <v>207</v>
      </c>
      <c r="I198" s="151" t="s">
        <v>213</v>
      </c>
      <c r="J198" s="151" t="s">
        <v>209</v>
      </c>
      <c r="K198" s="151" t="s">
        <v>210</v>
      </c>
      <c r="L198" s="304">
        <v>2100</v>
      </c>
      <c r="M198" s="305">
        <v>8600</v>
      </c>
      <c r="N198" s="305">
        <v>384300</v>
      </c>
      <c r="O198" s="306">
        <v>50100</v>
      </c>
      <c r="P198" s="155"/>
      <c r="Q198" s="151"/>
      <c r="R198" s="152"/>
    </row>
    <row r="199" spans="1:26" ht="15" customHeight="1" x14ac:dyDescent="0.3">
      <c r="A199" s="151" t="s">
        <v>214</v>
      </c>
      <c r="B199" s="151"/>
      <c r="C199" s="151">
        <v>2392.5</v>
      </c>
      <c r="D199" s="151" t="s">
        <v>215</v>
      </c>
      <c r="E199" s="151"/>
      <c r="F199" s="151"/>
      <c r="G199" s="151"/>
      <c r="H199" s="156">
        <v>3.6432281029351699E-2</v>
      </c>
      <c r="I199" s="156">
        <v>0.19581096457956468</v>
      </c>
      <c r="J199" s="156">
        <v>8.753858610025091E-3</v>
      </c>
      <c r="K199" s="156">
        <v>2.2429538425628756E-3</v>
      </c>
      <c r="L199" s="155"/>
      <c r="M199" s="155"/>
      <c r="N199" s="155"/>
      <c r="O199" s="155"/>
      <c r="P199" s="155"/>
      <c r="Q199" s="151"/>
      <c r="R199" s="152"/>
    </row>
    <row r="200" spans="1:26" ht="15" customHeight="1" x14ac:dyDescent="0.3">
      <c r="A200" s="151" t="s">
        <v>216</v>
      </c>
      <c r="B200" s="151"/>
      <c r="C200" s="151">
        <v>1.1499999999999999</v>
      </c>
      <c r="D200" s="151"/>
      <c r="E200" s="151"/>
      <c r="F200" s="151"/>
      <c r="G200" s="151"/>
      <c r="H200" s="151" t="s">
        <v>217</v>
      </c>
      <c r="I200" s="151"/>
      <c r="J200" s="151"/>
      <c r="K200" s="151"/>
      <c r="L200" s="151"/>
      <c r="M200" s="151"/>
      <c r="N200" s="151"/>
      <c r="O200" s="151"/>
      <c r="P200" s="151"/>
      <c r="Q200" s="151"/>
      <c r="R200" s="152"/>
    </row>
    <row r="201" spans="1:26" ht="15" customHeight="1" x14ac:dyDescent="0.3">
      <c r="A201" s="151" t="s">
        <v>218</v>
      </c>
      <c r="B201" s="151"/>
      <c r="C201" s="151">
        <v>2025</v>
      </c>
      <c r="D201" s="151"/>
      <c r="E201" s="151"/>
      <c r="F201" s="151"/>
      <c r="G201" s="151"/>
      <c r="H201" s="151" t="s">
        <v>207</v>
      </c>
      <c r="I201" s="151" t="s">
        <v>213</v>
      </c>
      <c r="J201" s="151" t="s">
        <v>209</v>
      </c>
      <c r="K201" s="151" t="s">
        <v>210</v>
      </c>
      <c r="L201" s="151"/>
      <c r="M201" s="151"/>
      <c r="N201" s="151"/>
      <c r="O201" s="151"/>
      <c r="P201" s="151"/>
      <c r="Q201" s="151"/>
      <c r="R201" s="152"/>
    </row>
    <row r="202" spans="1:26" ht="15" customHeight="1" x14ac:dyDescent="0.3">
      <c r="A202" s="151" t="s">
        <v>219</v>
      </c>
      <c r="B202" s="151"/>
      <c r="C202" s="151">
        <v>2.2000000000000002</v>
      </c>
      <c r="D202" s="151" t="s">
        <v>220</v>
      </c>
      <c r="E202" s="151"/>
      <c r="F202" s="151"/>
      <c r="G202" s="151"/>
      <c r="H202" s="156">
        <v>0.1926184710123312</v>
      </c>
      <c r="I202" s="156">
        <v>3.5876303775197051</v>
      </c>
      <c r="J202" s="156">
        <v>0.13760098285564054</v>
      </c>
      <c r="K202" s="156">
        <v>1.13555217375917E-2</v>
      </c>
      <c r="L202" s="151"/>
      <c r="M202" s="151"/>
      <c r="N202" s="151"/>
      <c r="O202" s="151"/>
      <c r="P202" s="151"/>
      <c r="Q202" s="151"/>
      <c r="R202" s="152"/>
    </row>
    <row r="203" spans="1:26" ht="15" customHeight="1" x14ac:dyDescent="0.3">
      <c r="A203" s="151" t="s">
        <v>221</v>
      </c>
      <c r="B203" s="151"/>
      <c r="C203" s="151">
        <v>2.5999999999999999E-2</v>
      </c>
      <c r="D203" s="151" t="s">
        <v>222</v>
      </c>
      <c r="E203" s="151"/>
      <c r="F203" s="151"/>
      <c r="G203" s="151"/>
      <c r="H203" s="151" t="s">
        <v>223</v>
      </c>
      <c r="I203" s="151"/>
      <c r="J203" s="151"/>
      <c r="K203" s="151"/>
      <c r="L203" s="151" t="s">
        <v>224</v>
      </c>
      <c r="M203" s="151"/>
      <c r="N203" s="151"/>
      <c r="O203" s="151"/>
      <c r="P203" s="151"/>
      <c r="Q203" s="151"/>
      <c r="R203" s="152"/>
    </row>
    <row r="204" spans="1:26" ht="15" customHeight="1" x14ac:dyDescent="0.3">
      <c r="A204" s="459" t="s">
        <v>29</v>
      </c>
      <c r="B204" s="459" t="s">
        <v>30</v>
      </c>
      <c r="C204" s="478" t="s">
        <v>225</v>
      </c>
      <c r="D204" s="478" t="s">
        <v>226</v>
      </c>
      <c r="E204" s="478" t="s">
        <v>183</v>
      </c>
      <c r="F204" s="459" t="s">
        <v>227</v>
      </c>
      <c r="G204" s="459" t="s">
        <v>228</v>
      </c>
      <c r="H204" s="459" t="s">
        <v>229</v>
      </c>
      <c r="I204" s="459" t="s">
        <v>230</v>
      </c>
      <c r="J204" s="459" t="s">
        <v>231</v>
      </c>
      <c r="K204" s="459" t="s">
        <v>232</v>
      </c>
      <c r="L204" s="459" t="s">
        <v>233</v>
      </c>
      <c r="M204" s="459" t="s">
        <v>234</v>
      </c>
      <c r="N204" s="459" t="s">
        <v>235</v>
      </c>
      <c r="O204" s="459" t="s">
        <v>236</v>
      </c>
      <c r="P204" s="461" t="s">
        <v>237</v>
      </c>
      <c r="Q204" s="459" t="s">
        <v>238</v>
      </c>
      <c r="R204" s="459" t="s">
        <v>239</v>
      </c>
      <c r="W204" s="462" t="s">
        <v>240</v>
      </c>
      <c r="X204" s="462" t="s">
        <v>241</v>
      </c>
      <c r="Y204" s="462" t="s">
        <v>242</v>
      </c>
      <c r="Z204" s="462" t="s">
        <v>243</v>
      </c>
    </row>
    <row r="205" spans="1:26" ht="15" customHeight="1" x14ac:dyDescent="0.3">
      <c r="A205" s="463">
        <v>0</v>
      </c>
      <c r="B205" s="463">
        <v>2018</v>
      </c>
      <c r="C205" s="479">
        <v>13557.5</v>
      </c>
      <c r="D205" s="480">
        <v>2392.5</v>
      </c>
      <c r="E205" s="465">
        <v>0</v>
      </c>
      <c r="F205" s="466">
        <f>C205*E205*365</f>
        <v>0</v>
      </c>
      <c r="G205" s="466">
        <f>D205*E205*365</f>
        <v>0</v>
      </c>
      <c r="H205" s="467">
        <f t="shared" ref="H205:K220" si="77">($F205*H$8+$G205*H$11)/1000000*1.1015</f>
        <v>0</v>
      </c>
      <c r="I205" s="467">
        <f t="shared" si="77"/>
        <v>0</v>
      </c>
      <c r="J205" s="467">
        <f t="shared" si="77"/>
        <v>0</v>
      </c>
      <c r="K205" s="467">
        <f t="shared" si="77"/>
        <v>0</v>
      </c>
      <c r="L205" s="468">
        <f>H205*L$7</f>
        <v>0</v>
      </c>
      <c r="M205" s="468">
        <f t="shared" ref="M205:O220" si="78">I205*M$7</f>
        <v>0</v>
      </c>
      <c r="N205" s="468">
        <f t="shared" si="78"/>
        <v>0</v>
      </c>
      <c r="O205" s="468">
        <f t="shared" si="78"/>
        <v>0</v>
      </c>
      <c r="P205" s="468">
        <f>(+F205)*398.52/1000000</f>
        <v>0</v>
      </c>
      <c r="Q205" s="468">
        <f>SUM(L205:P205)</f>
        <v>0</v>
      </c>
      <c r="R205" s="469">
        <f>Q205/(1+0.07)^A205</f>
        <v>0</v>
      </c>
      <c r="W205" s="470">
        <f>L205/(1+0.07)^$A205</f>
        <v>0</v>
      </c>
      <c r="X205" s="470">
        <f t="shared" ref="X205:X236" si="79">M205/(1+0.07)^$A205</f>
        <v>0</v>
      </c>
      <c r="Y205" s="470">
        <f t="shared" ref="Y205:Y236" si="80">N205/(1+0.07)^$A205</f>
        <v>0</v>
      </c>
      <c r="Z205" s="470">
        <f t="shared" ref="Z205:Z236" si="81">O205/(1+0.07)^$A205</f>
        <v>0</v>
      </c>
    </row>
    <row r="206" spans="1:26" ht="15" customHeight="1" x14ac:dyDescent="0.3">
      <c r="A206" s="463">
        <f>1+A205</f>
        <v>1</v>
      </c>
      <c r="B206" s="463">
        <f>1+B205</f>
        <v>2019</v>
      </c>
      <c r="C206" s="479">
        <v>13625.5</v>
      </c>
      <c r="D206" s="480">
        <v>2404.5</v>
      </c>
      <c r="E206" s="465">
        <v>0</v>
      </c>
      <c r="F206" s="466">
        <f t="shared" ref="F206:F236" si="82">C206*E206*365</f>
        <v>0</v>
      </c>
      <c r="G206" s="466">
        <f t="shared" ref="G206:G236" si="83">D206*E206*365</f>
        <v>0</v>
      </c>
      <c r="H206" s="467">
        <f t="shared" si="77"/>
        <v>0</v>
      </c>
      <c r="I206" s="467">
        <f t="shared" si="77"/>
        <v>0</v>
      </c>
      <c r="J206" s="467">
        <f t="shared" si="77"/>
        <v>0</v>
      </c>
      <c r="K206" s="467">
        <f t="shared" si="77"/>
        <v>0</v>
      </c>
      <c r="L206" s="468">
        <f t="shared" ref="L206:O221" si="84">H206*L$7</f>
        <v>0</v>
      </c>
      <c r="M206" s="468">
        <f t="shared" si="78"/>
        <v>0</v>
      </c>
      <c r="N206" s="468">
        <f t="shared" si="78"/>
        <v>0</v>
      </c>
      <c r="O206" s="468">
        <f t="shared" si="78"/>
        <v>0</v>
      </c>
      <c r="P206" s="468">
        <f t="shared" ref="P206:P236" si="85">(+F206)*398.52/1000000</f>
        <v>0</v>
      </c>
      <c r="Q206" s="468">
        <f t="shared" ref="Q206:Q236" si="86">SUM(L206:P206)</f>
        <v>0</v>
      </c>
      <c r="R206" s="469">
        <f t="shared" ref="R206:R236" si="87">Q206/(1+0.07)^A206</f>
        <v>0</v>
      </c>
      <c r="W206" s="470">
        <f t="shared" ref="W206:W236" si="88">L206/(1+0.07)^$A206</f>
        <v>0</v>
      </c>
      <c r="X206" s="470">
        <f t="shared" si="79"/>
        <v>0</v>
      </c>
      <c r="Y206" s="470">
        <f t="shared" si="80"/>
        <v>0</v>
      </c>
      <c r="Z206" s="470">
        <f t="shared" si="81"/>
        <v>0</v>
      </c>
    </row>
    <row r="207" spans="1:26" ht="15" customHeight="1" x14ac:dyDescent="0.3">
      <c r="A207" s="463">
        <f>1+A206</f>
        <v>2</v>
      </c>
      <c r="B207" s="463">
        <f t="shared" ref="B207:B236" si="89">1+B206</f>
        <v>2020</v>
      </c>
      <c r="C207" s="479">
        <v>13693.5</v>
      </c>
      <c r="D207" s="480">
        <v>2416.5</v>
      </c>
      <c r="E207" s="465">
        <v>0</v>
      </c>
      <c r="F207" s="466">
        <f t="shared" si="82"/>
        <v>0</v>
      </c>
      <c r="G207" s="466">
        <f>D207*E207*365</f>
        <v>0</v>
      </c>
      <c r="H207" s="467">
        <f t="shared" si="77"/>
        <v>0</v>
      </c>
      <c r="I207" s="467">
        <f t="shared" si="77"/>
        <v>0</v>
      </c>
      <c r="J207" s="467">
        <f t="shared" si="77"/>
        <v>0</v>
      </c>
      <c r="K207" s="467">
        <f t="shared" si="77"/>
        <v>0</v>
      </c>
      <c r="L207" s="468">
        <f t="shared" si="84"/>
        <v>0</v>
      </c>
      <c r="M207" s="468">
        <f t="shared" si="78"/>
        <v>0</v>
      </c>
      <c r="N207" s="468">
        <f t="shared" si="78"/>
        <v>0</v>
      </c>
      <c r="O207" s="468">
        <f t="shared" si="78"/>
        <v>0</v>
      </c>
      <c r="P207" s="468">
        <f t="shared" si="85"/>
        <v>0</v>
      </c>
      <c r="Q207" s="468">
        <f t="shared" si="86"/>
        <v>0</v>
      </c>
      <c r="R207" s="469">
        <f t="shared" si="87"/>
        <v>0</v>
      </c>
      <c r="W207" s="470">
        <f t="shared" si="88"/>
        <v>0</v>
      </c>
      <c r="X207" s="470">
        <f t="shared" si="79"/>
        <v>0</v>
      </c>
      <c r="Y207" s="470">
        <f t="shared" si="80"/>
        <v>0</v>
      </c>
      <c r="Z207" s="470">
        <f t="shared" si="81"/>
        <v>0</v>
      </c>
    </row>
    <row r="208" spans="1:26" ht="15" customHeight="1" x14ac:dyDescent="0.3">
      <c r="A208" s="463">
        <f t="shared" ref="A208:A236" si="90">1+A207</f>
        <v>3</v>
      </c>
      <c r="B208" s="463">
        <f t="shared" si="89"/>
        <v>2021</v>
      </c>
      <c r="C208" s="479">
        <v>13770</v>
      </c>
      <c r="D208" s="480">
        <v>2430</v>
      </c>
      <c r="E208" s="465">
        <v>0</v>
      </c>
      <c r="F208" s="466">
        <f t="shared" si="82"/>
        <v>0</v>
      </c>
      <c r="G208" s="466">
        <f t="shared" si="83"/>
        <v>0</v>
      </c>
      <c r="H208" s="467">
        <f t="shared" si="77"/>
        <v>0</v>
      </c>
      <c r="I208" s="467">
        <f t="shared" si="77"/>
        <v>0</v>
      </c>
      <c r="J208" s="467">
        <f t="shared" si="77"/>
        <v>0</v>
      </c>
      <c r="K208" s="467">
        <f t="shared" si="77"/>
        <v>0</v>
      </c>
      <c r="L208" s="468">
        <f t="shared" si="84"/>
        <v>0</v>
      </c>
      <c r="M208" s="468">
        <f t="shared" si="78"/>
        <v>0</v>
      </c>
      <c r="N208" s="468">
        <f t="shared" si="78"/>
        <v>0</v>
      </c>
      <c r="O208" s="468">
        <f t="shared" si="78"/>
        <v>0</v>
      </c>
      <c r="P208" s="468">
        <f t="shared" si="85"/>
        <v>0</v>
      </c>
      <c r="Q208" s="468">
        <f t="shared" si="86"/>
        <v>0</v>
      </c>
      <c r="R208" s="469">
        <f t="shared" si="87"/>
        <v>0</v>
      </c>
      <c r="W208" s="470">
        <f t="shared" si="88"/>
        <v>0</v>
      </c>
      <c r="X208" s="470">
        <f t="shared" si="79"/>
        <v>0</v>
      </c>
      <c r="Y208" s="470">
        <f t="shared" si="80"/>
        <v>0</v>
      </c>
      <c r="Z208" s="470">
        <f t="shared" si="81"/>
        <v>0</v>
      </c>
    </row>
    <row r="209" spans="1:26" ht="15" customHeight="1" x14ac:dyDescent="0.3">
      <c r="A209" s="463">
        <f t="shared" si="90"/>
        <v>4</v>
      </c>
      <c r="B209" s="463">
        <f t="shared" si="89"/>
        <v>2022</v>
      </c>
      <c r="C209" s="479">
        <v>13838</v>
      </c>
      <c r="D209" s="480">
        <v>2442</v>
      </c>
      <c r="E209" s="465">
        <v>0</v>
      </c>
      <c r="F209" s="466">
        <f t="shared" si="82"/>
        <v>0</v>
      </c>
      <c r="G209" s="466">
        <f t="shared" si="83"/>
        <v>0</v>
      </c>
      <c r="H209" s="467">
        <f t="shared" si="77"/>
        <v>0</v>
      </c>
      <c r="I209" s="467">
        <f t="shared" si="77"/>
        <v>0</v>
      </c>
      <c r="J209" s="467">
        <f t="shared" si="77"/>
        <v>0</v>
      </c>
      <c r="K209" s="467">
        <f t="shared" si="77"/>
        <v>0</v>
      </c>
      <c r="L209" s="468">
        <f t="shared" si="84"/>
        <v>0</v>
      </c>
      <c r="M209" s="468">
        <f t="shared" si="78"/>
        <v>0</v>
      </c>
      <c r="N209" s="468">
        <f t="shared" si="78"/>
        <v>0</v>
      </c>
      <c r="O209" s="468">
        <f t="shared" si="78"/>
        <v>0</v>
      </c>
      <c r="P209" s="468">
        <f t="shared" si="85"/>
        <v>0</v>
      </c>
      <c r="Q209" s="468">
        <f t="shared" si="86"/>
        <v>0</v>
      </c>
      <c r="R209" s="469">
        <f t="shared" si="87"/>
        <v>0</v>
      </c>
      <c r="W209" s="470">
        <f t="shared" si="88"/>
        <v>0</v>
      </c>
      <c r="X209" s="470">
        <f t="shared" si="79"/>
        <v>0</v>
      </c>
      <c r="Y209" s="470">
        <f t="shared" si="80"/>
        <v>0</v>
      </c>
      <c r="Z209" s="470">
        <f t="shared" si="81"/>
        <v>0</v>
      </c>
    </row>
    <row r="210" spans="1:26" ht="15" customHeight="1" x14ac:dyDescent="0.3">
      <c r="A210" s="463">
        <f t="shared" si="90"/>
        <v>5</v>
      </c>
      <c r="B210" s="463">
        <f t="shared" si="89"/>
        <v>2023</v>
      </c>
      <c r="C210" s="479">
        <v>13906</v>
      </c>
      <c r="D210" s="480">
        <v>2454</v>
      </c>
      <c r="E210" s="465">
        <v>0</v>
      </c>
      <c r="F210" s="466">
        <f t="shared" si="82"/>
        <v>0</v>
      </c>
      <c r="G210" s="466">
        <f t="shared" si="83"/>
        <v>0</v>
      </c>
      <c r="H210" s="467">
        <f t="shared" si="77"/>
        <v>0</v>
      </c>
      <c r="I210" s="467">
        <f t="shared" si="77"/>
        <v>0</v>
      </c>
      <c r="J210" s="467">
        <f t="shared" si="77"/>
        <v>0</v>
      </c>
      <c r="K210" s="467">
        <f t="shared" si="77"/>
        <v>0</v>
      </c>
      <c r="L210" s="468">
        <f t="shared" si="84"/>
        <v>0</v>
      </c>
      <c r="M210" s="468">
        <f t="shared" si="78"/>
        <v>0</v>
      </c>
      <c r="N210" s="468">
        <f t="shared" si="78"/>
        <v>0</v>
      </c>
      <c r="O210" s="468">
        <f t="shared" si="78"/>
        <v>0</v>
      </c>
      <c r="P210" s="468">
        <f t="shared" si="85"/>
        <v>0</v>
      </c>
      <c r="Q210" s="468">
        <f t="shared" si="86"/>
        <v>0</v>
      </c>
      <c r="R210" s="469">
        <f t="shared" si="87"/>
        <v>0</v>
      </c>
      <c r="W210" s="470">
        <f t="shared" si="88"/>
        <v>0</v>
      </c>
      <c r="X210" s="470">
        <f t="shared" si="79"/>
        <v>0</v>
      </c>
      <c r="Y210" s="470">
        <f t="shared" si="80"/>
        <v>0</v>
      </c>
      <c r="Z210" s="470">
        <f t="shared" si="81"/>
        <v>0</v>
      </c>
    </row>
    <row r="211" spans="1:26" ht="15" customHeight="1" x14ac:dyDescent="0.3">
      <c r="A211" s="463">
        <f t="shared" si="90"/>
        <v>6</v>
      </c>
      <c r="B211" s="463">
        <f t="shared" si="89"/>
        <v>2024</v>
      </c>
      <c r="C211" s="479">
        <v>13974</v>
      </c>
      <c r="D211" s="480">
        <v>2466</v>
      </c>
      <c r="E211" s="465">
        <v>0</v>
      </c>
      <c r="F211" s="466">
        <f t="shared" si="82"/>
        <v>0</v>
      </c>
      <c r="G211" s="466">
        <f t="shared" si="83"/>
        <v>0</v>
      </c>
      <c r="H211" s="467">
        <f t="shared" si="77"/>
        <v>0</v>
      </c>
      <c r="I211" s="467">
        <f t="shared" si="77"/>
        <v>0</v>
      </c>
      <c r="J211" s="467">
        <f t="shared" si="77"/>
        <v>0</v>
      </c>
      <c r="K211" s="467">
        <f t="shared" si="77"/>
        <v>0</v>
      </c>
      <c r="L211" s="468">
        <f t="shared" si="84"/>
        <v>0</v>
      </c>
      <c r="M211" s="468">
        <f t="shared" si="78"/>
        <v>0</v>
      </c>
      <c r="N211" s="468">
        <f t="shared" si="78"/>
        <v>0</v>
      </c>
      <c r="O211" s="468">
        <f t="shared" si="78"/>
        <v>0</v>
      </c>
      <c r="P211" s="468">
        <f t="shared" si="85"/>
        <v>0</v>
      </c>
      <c r="Q211" s="468">
        <f t="shared" si="86"/>
        <v>0</v>
      </c>
      <c r="R211" s="469">
        <f t="shared" si="87"/>
        <v>0</v>
      </c>
      <c r="W211" s="470">
        <f t="shared" si="88"/>
        <v>0</v>
      </c>
      <c r="X211" s="470">
        <f t="shared" si="79"/>
        <v>0</v>
      </c>
      <c r="Y211" s="470">
        <f t="shared" si="80"/>
        <v>0</v>
      </c>
      <c r="Z211" s="470">
        <f t="shared" si="81"/>
        <v>0</v>
      </c>
    </row>
    <row r="212" spans="1:26" ht="15" customHeight="1" x14ac:dyDescent="0.3">
      <c r="A212" s="463">
        <f t="shared" si="90"/>
        <v>7</v>
      </c>
      <c r="B212" s="463">
        <f t="shared" si="89"/>
        <v>2025</v>
      </c>
      <c r="C212" s="479">
        <v>14042</v>
      </c>
      <c r="D212" s="480">
        <v>2478</v>
      </c>
      <c r="E212" s="465">
        <v>2.2000000000000002</v>
      </c>
      <c r="F212" s="466">
        <f t="shared" si="82"/>
        <v>11275726</v>
      </c>
      <c r="G212" s="466">
        <f t="shared" si="83"/>
        <v>1989834.0000000002</v>
      </c>
      <c r="H212" s="467">
        <f t="shared" si="77"/>
        <v>0.87467824000098615</v>
      </c>
      <c r="I212" s="467">
        <f t="shared" si="77"/>
        <v>10.295389707451587</v>
      </c>
      <c r="J212" s="467">
        <f t="shared" si="77"/>
        <v>0.41031891161172324</v>
      </c>
      <c r="K212" s="467">
        <f t="shared" si="77"/>
        <v>5.2747019624944561E-2</v>
      </c>
      <c r="L212" s="468">
        <f t="shared" si="84"/>
        <v>1836.8243040020709</v>
      </c>
      <c r="M212" s="468">
        <f t="shared" si="78"/>
        <v>88540.351484083643</v>
      </c>
      <c r="N212" s="468">
        <f t="shared" si="78"/>
        <v>157685.55773238523</v>
      </c>
      <c r="O212" s="468">
        <f t="shared" si="78"/>
        <v>2642.6256832097224</v>
      </c>
      <c r="P212" s="468">
        <f t="shared" si="85"/>
        <v>4493.6023255199998</v>
      </c>
      <c r="Q212" s="468">
        <f t="shared" si="86"/>
        <v>255198.96152920069</v>
      </c>
      <c r="R212" s="469">
        <f>Q212/(1+0.07)^(A212)</f>
        <v>158925.08742152542</v>
      </c>
      <c r="W212" s="470">
        <f t="shared" si="88"/>
        <v>1143.8818612046334</v>
      </c>
      <c r="X212" s="470">
        <f t="shared" si="79"/>
        <v>55138.481033084063</v>
      </c>
      <c r="Y212" s="470">
        <f t="shared" si="80"/>
        <v>98198.640376770694</v>
      </c>
      <c r="Z212" s="470">
        <f t="shared" si="81"/>
        <v>1645.6944621164459</v>
      </c>
    </row>
    <row r="213" spans="1:26" ht="15" customHeight="1" x14ac:dyDescent="0.3">
      <c r="A213" s="463">
        <f t="shared" si="90"/>
        <v>8</v>
      </c>
      <c r="B213" s="463">
        <f t="shared" si="89"/>
        <v>2026</v>
      </c>
      <c r="C213" s="479">
        <v>14118.5</v>
      </c>
      <c r="D213" s="480">
        <v>2491.5</v>
      </c>
      <c r="E213" s="465">
        <v>2.2000000000000002</v>
      </c>
      <c r="F213" s="466">
        <f t="shared" si="82"/>
        <v>11337155.5</v>
      </c>
      <c r="G213" s="466">
        <f t="shared" si="83"/>
        <v>2000674.5</v>
      </c>
      <c r="H213" s="467">
        <f t="shared" si="77"/>
        <v>0.87944343622375165</v>
      </c>
      <c r="I213" s="467">
        <f t="shared" si="77"/>
        <v>10.351478392298477</v>
      </c>
      <c r="J213" s="467">
        <f t="shared" si="77"/>
        <v>0.41255430519798575</v>
      </c>
      <c r="K213" s="467">
        <f t="shared" si="77"/>
        <v>5.3034382322659147E-2</v>
      </c>
      <c r="L213" s="468">
        <f t="shared" si="84"/>
        <v>1846.8312160698786</v>
      </c>
      <c r="M213" s="468">
        <f t="shared" si="78"/>
        <v>89022.714173766901</v>
      </c>
      <c r="N213" s="468">
        <f t="shared" si="78"/>
        <v>158544.61948758594</v>
      </c>
      <c r="O213" s="468">
        <f t="shared" si="78"/>
        <v>2657.0225543652232</v>
      </c>
      <c r="P213" s="468">
        <f t="shared" si="85"/>
        <v>4518.0832098599994</v>
      </c>
      <c r="Q213" s="468">
        <f t="shared" si="86"/>
        <v>256589.27064164795</v>
      </c>
      <c r="R213" s="469">
        <f t="shared" si="87"/>
        <v>149337.29164714183</v>
      </c>
      <c r="W213" s="470">
        <f t="shared" si="88"/>
        <v>1074.8725823475911</v>
      </c>
      <c r="X213" s="470">
        <f t="shared" si="79"/>
        <v>51812.030162223433</v>
      </c>
      <c r="Y213" s="470">
        <f t="shared" si="80"/>
        <v>92274.412021574637</v>
      </c>
      <c r="Z213" s="470">
        <f t="shared" si="81"/>
        <v>1546.4113176752146</v>
      </c>
    </row>
    <row r="214" spans="1:26" ht="15" customHeight="1" x14ac:dyDescent="0.3">
      <c r="A214" s="463">
        <f t="shared" si="90"/>
        <v>9</v>
      </c>
      <c r="B214" s="463">
        <f t="shared" si="89"/>
        <v>2027</v>
      </c>
      <c r="C214" s="479">
        <v>14186.5</v>
      </c>
      <c r="D214" s="480">
        <v>2503.5</v>
      </c>
      <c r="E214" s="465">
        <v>2.2000000000000002</v>
      </c>
      <c r="F214" s="466">
        <f t="shared" si="82"/>
        <v>11391759.500000002</v>
      </c>
      <c r="G214" s="466">
        <f t="shared" si="83"/>
        <v>2010310.5000000002</v>
      </c>
      <c r="H214" s="467">
        <f t="shared" si="77"/>
        <v>0.88367916619954356</v>
      </c>
      <c r="I214" s="467">
        <f t="shared" si="77"/>
        <v>10.401335001051272</v>
      </c>
      <c r="J214" s="467">
        <f t="shared" si="77"/>
        <v>0.41454132171910779</v>
      </c>
      <c r="K214" s="467">
        <f t="shared" si="77"/>
        <v>5.3289815831738786E-2</v>
      </c>
      <c r="L214" s="468">
        <f t="shared" si="84"/>
        <v>1855.7262490190415</v>
      </c>
      <c r="M214" s="468">
        <f t="shared" si="78"/>
        <v>89451.481009040945</v>
      </c>
      <c r="N214" s="468">
        <f t="shared" si="78"/>
        <v>159308.22993665314</v>
      </c>
      <c r="O214" s="468">
        <f t="shared" si="78"/>
        <v>2669.819773170113</v>
      </c>
      <c r="P214" s="468">
        <f t="shared" si="85"/>
        <v>4539.8439959400002</v>
      </c>
      <c r="Q214" s="468">
        <f t="shared" si="86"/>
        <v>257825.10096382324</v>
      </c>
      <c r="R214" s="469">
        <f t="shared" si="87"/>
        <v>140239.77209938821</v>
      </c>
      <c r="W214" s="470">
        <f t="shared" si="88"/>
        <v>1009.3921238405699</v>
      </c>
      <c r="X214" s="470">
        <f t="shared" si="79"/>
        <v>48655.678844942478</v>
      </c>
      <c r="Y214" s="470">
        <f t="shared" si="80"/>
        <v>86653.121733899752</v>
      </c>
      <c r="Z214" s="470">
        <f t="shared" si="81"/>
        <v>1452.2050612455807</v>
      </c>
    </row>
    <row r="215" spans="1:26" ht="15" customHeight="1" x14ac:dyDescent="0.3">
      <c r="A215" s="463">
        <f t="shared" si="90"/>
        <v>10</v>
      </c>
      <c r="B215" s="463">
        <f t="shared" si="89"/>
        <v>2028</v>
      </c>
      <c r="C215" s="479">
        <v>14254.5</v>
      </c>
      <c r="D215" s="480">
        <v>2515.5</v>
      </c>
      <c r="E215" s="465">
        <v>2.2000000000000002</v>
      </c>
      <c r="F215" s="466">
        <f t="shared" si="82"/>
        <v>11446363.5</v>
      </c>
      <c r="G215" s="466">
        <f t="shared" si="83"/>
        <v>2019946.5000000002</v>
      </c>
      <c r="H215" s="467">
        <f t="shared" si="77"/>
        <v>0.88791489617533526</v>
      </c>
      <c r="I215" s="467">
        <f t="shared" si="77"/>
        <v>10.451191609804066</v>
      </c>
      <c r="J215" s="467">
        <f t="shared" si="77"/>
        <v>0.41652833824023</v>
      </c>
      <c r="K215" s="467">
        <f t="shared" si="77"/>
        <v>5.3545249340818418E-2</v>
      </c>
      <c r="L215" s="468">
        <f t="shared" si="84"/>
        <v>1864.6212819682041</v>
      </c>
      <c r="M215" s="468">
        <f t="shared" si="78"/>
        <v>89880.247844314974</v>
      </c>
      <c r="N215" s="468">
        <f t="shared" si="78"/>
        <v>160071.8403857204</v>
      </c>
      <c r="O215" s="468">
        <f t="shared" si="78"/>
        <v>2682.6169919750027</v>
      </c>
      <c r="P215" s="468">
        <f t="shared" si="85"/>
        <v>4561.6047820199992</v>
      </c>
      <c r="Q215" s="468">
        <f t="shared" si="86"/>
        <v>259060.93128599858</v>
      </c>
      <c r="R215" s="469">
        <f t="shared" si="87"/>
        <v>131693.44103899813</v>
      </c>
      <c r="W215" s="470">
        <f t="shared" si="88"/>
        <v>947.87890878786664</v>
      </c>
      <c r="X215" s="470">
        <f t="shared" si="79"/>
        <v>45690.560368550512</v>
      </c>
      <c r="Y215" s="470">
        <f t="shared" si="80"/>
        <v>81372.406750782495</v>
      </c>
      <c r="Z215" s="470">
        <f t="shared" si="81"/>
        <v>1363.7064489390586</v>
      </c>
    </row>
    <row r="216" spans="1:26" ht="15" customHeight="1" x14ac:dyDescent="0.3">
      <c r="A216" s="463">
        <f t="shared" si="90"/>
        <v>11</v>
      </c>
      <c r="B216" s="463">
        <f t="shared" si="89"/>
        <v>2029</v>
      </c>
      <c r="C216" s="479">
        <v>14322.5</v>
      </c>
      <c r="D216" s="480">
        <v>2527.5</v>
      </c>
      <c r="E216" s="465">
        <v>2.2000000000000002</v>
      </c>
      <c r="F216" s="466">
        <f t="shared" si="82"/>
        <v>11500967.500000002</v>
      </c>
      <c r="G216" s="466">
        <f t="shared" si="83"/>
        <v>2029582.5</v>
      </c>
      <c r="H216" s="467">
        <f t="shared" si="77"/>
        <v>0.89215062615112684</v>
      </c>
      <c r="I216" s="467">
        <f t="shared" si="77"/>
        <v>10.501048218556855</v>
      </c>
      <c r="J216" s="467">
        <f t="shared" si="77"/>
        <v>0.4185153547613521</v>
      </c>
      <c r="K216" s="467">
        <f t="shared" si="77"/>
        <v>5.3800682849898057E-2</v>
      </c>
      <c r="L216" s="468">
        <f t="shared" si="84"/>
        <v>1873.5163149173663</v>
      </c>
      <c r="M216" s="468">
        <f t="shared" si="78"/>
        <v>90309.01467958896</v>
      </c>
      <c r="N216" s="468">
        <f t="shared" si="78"/>
        <v>160835.45083478763</v>
      </c>
      <c r="O216" s="468">
        <f t="shared" si="78"/>
        <v>2695.4142107798925</v>
      </c>
      <c r="P216" s="468">
        <f t="shared" si="85"/>
        <v>4583.3655681</v>
      </c>
      <c r="Q216" s="468">
        <f t="shared" si="86"/>
        <v>260296.76160817384</v>
      </c>
      <c r="R216" s="469">
        <f t="shared" si="87"/>
        <v>123665.11636306031</v>
      </c>
      <c r="W216" s="470">
        <f t="shared" si="88"/>
        <v>890.09410513185799</v>
      </c>
      <c r="X216" s="470">
        <f t="shared" si="79"/>
        <v>42905.162323133532</v>
      </c>
      <c r="Y216" s="470">
        <f t="shared" si="80"/>
        <v>76411.764095357459</v>
      </c>
      <c r="Z216" s="470">
        <f t="shared" si="81"/>
        <v>1280.5718748222591</v>
      </c>
    </row>
    <row r="217" spans="1:26" ht="15" customHeight="1" x14ac:dyDescent="0.3">
      <c r="A217" s="463">
        <f t="shared" si="90"/>
        <v>12</v>
      </c>
      <c r="B217" s="463">
        <f t="shared" si="89"/>
        <v>2030</v>
      </c>
      <c r="C217" s="479">
        <v>14390.5</v>
      </c>
      <c r="D217" s="480">
        <v>2539.5</v>
      </c>
      <c r="E217" s="465">
        <v>2.2000000000000002</v>
      </c>
      <c r="F217" s="466">
        <f t="shared" si="82"/>
        <v>11555571.5</v>
      </c>
      <c r="G217" s="466">
        <f t="shared" si="83"/>
        <v>2039218.5000000002</v>
      </c>
      <c r="H217" s="467">
        <f t="shared" si="77"/>
        <v>0.89638635612691842</v>
      </c>
      <c r="I217" s="467">
        <f t="shared" si="77"/>
        <v>10.550904827309649</v>
      </c>
      <c r="J217" s="467">
        <f t="shared" si="77"/>
        <v>0.42050237128247425</v>
      </c>
      <c r="K217" s="467">
        <f t="shared" si="77"/>
        <v>5.4056116358977696E-2</v>
      </c>
      <c r="L217" s="468">
        <f t="shared" si="84"/>
        <v>1882.4113478665288</v>
      </c>
      <c r="M217" s="468">
        <f t="shared" si="78"/>
        <v>90737.781514862989</v>
      </c>
      <c r="N217" s="468">
        <f t="shared" si="78"/>
        <v>161599.06128385485</v>
      </c>
      <c r="O217" s="468">
        <f t="shared" si="78"/>
        <v>2708.2114295847828</v>
      </c>
      <c r="P217" s="468">
        <f t="shared" si="85"/>
        <v>4605.126354179999</v>
      </c>
      <c r="Q217" s="468">
        <f t="shared" si="86"/>
        <v>261532.59193034912</v>
      </c>
      <c r="R217" s="469">
        <f t="shared" si="87"/>
        <v>116123.59854830203</v>
      </c>
      <c r="W217" s="470">
        <f t="shared" si="88"/>
        <v>835.81315066321076</v>
      </c>
      <c r="X217" s="470">
        <f t="shared" si="79"/>
        <v>40288.660147572089</v>
      </c>
      <c r="Y217" s="470">
        <f t="shared" si="80"/>
        <v>71751.91581210804</v>
      </c>
      <c r="Z217" s="470">
        <f t="shared" si="81"/>
        <v>1202.4782628880921</v>
      </c>
    </row>
    <row r="218" spans="1:26" ht="15" customHeight="1" x14ac:dyDescent="0.3">
      <c r="A218" s="463">
        <f t="shared" si="90"/>
        <v>13</v>
      </c>
      <c r="B218" s="463">
        <f t="shared" si="89"/>
        <v>2031</v>
      </c>
      <c r="C218" s="479">
        <v>14458.5</v>
      </c>
      <c r="D218" s="480">
        <v>2551.5</v>
      </c>
      <c r="E218" s="465">
        <v>2.2000000000000002</v>
      </c>
      <c r="F218" s="466">
        <f t="shared" si="82"/>
        <v>11610175.500000002</v>
      </c>
      <c r="G218" s="466">
        <f t="shared" si="83"/>
        <v>2048854.5</v>
      </c>
      <c r="H218" s="467">
        <f t="shared" si="77"/>
        <v>0.90062208610271022</v>
      </c>
      <c r="I218" s="467">
        <f t="shared" si="77"/>
        <v>10.60076143606244</v>
      </c>
      <c r="J218" s="467">
        <f t="shared" si="77"/>
        <v>0.42248938780359646</v>
      </c>
      <c r="K218" s="467">
        <f t="shared" si="77"/>
        <v>5.4311549868057328E-2</v>
      </c>
      <c r="L218" s="468">
        <f t="shared" si="84"/>
        <v>1891.3063808156915</v>
      </c>
      <c r="M218" s="468">
        <f t="shared" si="78"/>
        <v>91166.548350136989</v>
      </c>
      <c r="N218" s="468">
        <f t="shared" si="78"/>
        <v>162362.67173292211</v>
      </c>
      <c r="O218" s="468">
        <f t="shared" si="78"/>
        <v>2721.0086483896721</v>
      </c>
      <c r="P218" s="468">
        <f t="shared" si="85"/>
        <v>4626.8871402599998</v>
      </c>
      <c r="Q218" s="468">
        <f t="shared" si="86"/>
        <v>262768.42225252447</v>
      </c>
      <c r="R218" s="469">
        <f t="shared" si="87"/>
        <v>109039.55326256093</v>
      </c>
      <c r="W218" s="470">
        <f t="shared" si="88"/>
        <v>784.82490810325169</v>
      </c>
      <c r="X218" s="470">
        <f t="shared" si="79"/>
        <v>37830.876402018264</v>
      </c>
      <c r="Y218" s="470">
        <f t="shared" si="80"/>
        <v>67374.736433359896</v>
      </c>
      <c r="Z218" s="470">
        <f t="shared" si="81"/>
        <v>1129.1218514789562</v>
      </c>
    </row>
    <row r="219" spans="1:26" ht="15" customHeight="1" x14ac:dyDescent="0.3">
      <c r="A219" s="463">
        <f t="shared" si="90"/>
        <v>14</v>
      </c>
      <c r="B219" s="463">
        <f t="shared" si="89"/>
        <v>2032</v>
      </c>
      <c r="C219" s="479">
        <v>14535</v>
      </c>
      <c r="D219" s="480">
        <v>2565</v>
      </c>
      <c r="E219" s="465">
        <v>2.2000000000000002</v>
      </c>
      <c r="F219" s="466">
        <f t="shared" si="82"/>
        <v>11671605.000000002</v>
      </c>
      <c r="G219" s="466">
        <f t="shared" si="83"/>
        <v>2059695.0000000002</v>
      </c>
      <c r="H219" s="467">
        <f t="shared" si="77"/>
        <v>0.90538728232547605</v>
      </c>
      <c r="I219" s="467">
        <f t="shared" si="77"/>
        <v>10.656850120909331</v>
      </c>
      <c r="J219" s="467">
        <f t="shared" si="77"/>
        <v>0.42472478138985892</v>
      </c>
      <c r="K219" s="467">
        <f t="shared" si="77"/>
        <v>5.4598912565771915E-2</v>
      </c>
      <c r="L219" s="468">
        <f t="shared" si="84"/>
        <v>1901.3132928834998</v>
      </c>
      <c r="M219" s="468">
        <f t="shared" si="78"/>
        <v>91648.911039820247</v>
      </c>
      <c r="N219" s="468">
        <f t="shared" si="78"/>
        <v>163221.73348812279</v>
      </c>
      <c r="O219" s="468">
        <f t="shared" si="78"/>
        <v>2735.4055195451729</v>
      </c>
      <c r="P219" s="468">
        <f t="shared" si="85"/>
        <v>4651.3680246000004</v>
      </c>
      <c r="Q219" s="468">
        <f t="shared" si="86"/>
        <v>264158.73136497173</v>
      </c>
      <c r="R219" s="469">
        <f t="shared" si="87"/>
        <v>102445.31038860002</v>
      </c>
      <c r="W219" s="470">
        <f t="shared" si="88"/>
        <v>737.36207555564386</v>
      </c>
      <c r="X219" s="470">
        <f t="shared" si="79"/>
        <v>35543.027821705335</v>
      </c>
      <c r="Y219" s="470">
        <f t="shared" si="80"/>
        <v>63300.202355428883</v>
      </c>
      <c r="Z219" s="470">
        <f t="shared" si="81"/>
        <v>1060.837421653571</v>
      </c>
    </row>
    <row r="220" spans="1:26" ht="15" customHeight="1" x14ac:dyDescent="0.3">
      <c r="A220" s="463">
        <f t="shared" si="90"/>
        <v>15</v>
      </c>
      <c r="B220" s="463">
        <f t="shared" si="89"/>
        <v>2033</v>
      </c>
      <c r="C220" s="479">
        <v>14603</v>
      </c>
      <c r="D220" s="480">
        <v>2577</v>
      </c>
      <c r="E220" s="465">
        <v>2.2000000000000002</v>
      </c>
      <c r="F220" s="466">
        <f t="shared" si="82"/>
        <v>11726209</v>
      </c>
      <c r="G220" s="466">
        <f t="shared" si="83"/>
        <v>2069331.0000000002</v>
      </c>
      <c r="H220" s="467">
        <f t="shared" si="77"/>
        <v>0.90962301230126763</v>
      </c>
      <c r="I220" s="467">
        <f t="shared" si="77"/>
        <v>10.706706729662125</v>
      </c>
      <c r="J220" s="467">
        <f t="shared" si="77"/>
        <v>0.42671179791098102</v>
      </c>
      <c r="K220" s="467">
        <f t="shared" si="77"/>
        <v>5.4854346074851547E-2</v>
      </c>
      <c r="L220" s="468">
        <f t="shared" si="84"/>
        <v>1910.208325832662</v>
      </c>
      <c r="M220" s="468">
        <f t="shared" si="78"/>
        <v>92077.677875094276</v>
      </c>
      <c r="N220" s="468">
        <f t="shared" si="78"/>
        <v>163985.34393719002</v>
      </c>
      <c r="O220" s="468">
        <f t="shared" si="78"/>
        <v>2748.2027383500626</v>
      </c>
      <c r="P220" s="468">
        <f t="shared" si="85"/>
        <v>4673.1288106799993</v>
      </c>
      <c r="Q220" s="468">
        <f t="shared" si="86"/>
        <v>265394.56168714701</v>
      </c>
      <c r="R220" s="469">
        <f t="shared" si="87"/>
        <v>96191.202518235121</v>
      </c>
      <c r="W220" s="470">
        <f t="shared" si="88"/>
        <v>692.34740438574397</v>
      </c>
      <c r="X220" s="470">
        <f t="shared" si="79"/>
        <v>33373.187843739288</v>
      </c>
      <c r="Y220" s="470">
        <f t="shared" si="80"/>
        <v>59435.83518971788</v>
      </c>
      <c r="Z220" s="470">
        <f t="shared" si="81"/>
        <v>996.07514368521345</v>
      </c>
    </row>
    <row r="221" spans="1:26" ht="15" customHeight="1" x14ac:dyDescent="0.3">
      <c r="A221" s="463">
        <f t="shared" si="90"/>
        <v>16</v>
      </c>
      <c r="B221" s="463">
        <f t="shared" si="89"/>
        <v>2034</v>
      </c>
      <c r="C221" s="479">
        <v>14671</v>
      </c>
      <c r="D221" s="480">
        <v>2589</v>
      </c>
      <c r="E221" s="465">
        <v>2.2000000000000002</v>
      </c>
      <c r="F221" s="466">
        <f t="shared" si="82"/>
        <v>11780813.000000002</v>
      </c>
      <c r="G221" s="466">
        <f t="shared" si="83"/>
        <v>2078967</v>
      </c>
      <c r="H221" s="467">
        <f t="shared" ref="H221:K236" si="91">($F221*H$8+$G221*H$11)/1000000*1.1015</f>
        <v>0.91385874227705932</v>
      </c>
      <c r="I221" s="467">
        <f t="shared" si="91"/>
        <v>10.756563338414914</v>
      </c>
      <c r="J221" s="467">
        <f t="shared" si="91"/>
        <v>0.42869881443210311</v>
      </c>
      <c r="K221" s="467">
        <f t="shared" si="91"/>
        <v>5.5109779583931186E-2</v>
      </c>
      <c r="L221" s="468">
        <f t="shared" si="84"/>
        <v>1919.1033587818247</v>
      </c>
      <c r="M221" s="468">
        <f t="shared" si="84"/>
        <v>92506.444710368261</v>
      </c>
      <c r="N221" s="468">
        <f t="shared" si="84"/>
        <v>164748.95438625722</v>
      </c>
      <c r="O221" s="468">
        <f t="shared" si="84"/>
        <v>2760.9999571549524</v>
      </c>
      <c r="P221" s="468">
        <f t="shared" si="85"/>
        <v>4694.8895967600001</v>
      </c>
      <c r="Q221" s="468">
        <f t="shared" si="86"/>
        <v>266630.39200932224</v>
      </c>
      <c r="R221" s="469">
        <f t="shared" si="87"/>
        <v>90316.938597626999</v>
      </c>
      <c r="W221" s="470">
        <f t="shared" si="88"/>
        <v>650.06670436706145</v>
      </c>
      <c r="X221" s="470">
        <f t="shared" si="79"/>
        <v>31335.133342559813</v>
      </c>
      <c r="Y221" s="470">
        <f t="shared" si="80"/>
        <v>55806.170801438886</v>
      </c>
      <c r="Z221" s="470">
        <f t="shared" si="81"/>
        <v>935.24621000330671</v>
      </c>
    </row>
    <row r="222" spans="1:26" ht="15" customHeight="1" x14ac:dyDescent="0.3">
      <c r="A222" s="463">
        <f t="shared" si="90"/>
        <v>17</v>
      </c>
      <c r="B222" s="463">
        <f t="shared" si="89"/>
        <v>2035</v>
      </c>
      <c r="C222" s="479">
        <v>14739</v>
      </c>
      <c r="D222" s="480">
        <v>2601</v>
      </c>
      <c r="E222" s="465">
        <v>2.2000000000000002</v>
      </c>
      <c r="F222" s="466">
        <f t="shared" si="82"/>
        <v>11835417.000000002</v>
      </c>
      <c r="G222" s="466">
        <f t="shared" si="83"/>
        <v>2088603.0000000002</v>
      </c>
      <c r="H222" s="467">
        <f t="shared" si="91"/>
        <v>0.91809447225285101</v>
      </c>
      <c r="I222" s="467">
        <f t="shared" si="91"/>
        <v>10.80641994716771</v>
      </c>
      <c r="J222" s="467">
        <f t="shared" si="91"/>
        <v>0.43068583095322527</v>
      </c>
      <c r="K222" s="467">
        <f t="shared" si="91"/>
        <v>5.5365213093010818E-2</v>
      </c>
      <c r="L222" s="468">
        <f t="shared" ref="L222:O236" si="92">H222*L$7</f>
        <v>1927.9983917309871</v>
      </c>
      <c r="M222" s="468">
        <f t="shared" si="92"/>
        <v>92935.211545642305</v>
      </c>
      <c r="N222" s="468">
        <f t="shared" si="92"/>
        <v>165512.56483532448</v>
      </c>
      <c r="O222" s="468">
        <f t="shared" si="92"/>
        <v>2773.7971759598418</v>
      </c>
      <c r="P222" s="468">
        <f t="shared" si="85"/>
        <v>4716.65038284</v>
      </c>
      <c r="Q222" s="468">
        <f t="shared" si="86"/>
        <v>267866.22233149764</v>
      </c>
      <c r="R222" s="469">
        <f t="shared" si="87"/>
        <v>84799.586060517686</v>
      </c>
      <c r="W222" s="470">
        <f t="shared" si="88"/>
        <v>610.35491567802194</v>
      </c>
      <c r="X222" s="470">
        <f t="shared" si="79"/>
        <v>29420.907947714844</v>
      </c>
      <c r="Y222" s="470">
        <f t="shared" si="80"/>
        <v>52397.039326894359</v>
      </c>
      <c r="Z222" s="470">
        <f t="shared" si="81"/>
        <v>878.11315025055706</v>
      </c>
    </row>
    <row r="223" spans="1:26" ht="15" customHeight="1" x14ac:dyDescent="0.3">
      <c r="A223" s="463">
        <f t="shared" si="90"/>
        <v>18</v>
      </c>
      <c r="B223" s="463">
        <f t="shared" si="89"/>
        <v>2036</v>
      </c>
      <c r="C223" s="479">
        <v>14807</v>
      </c>
      <c r="D223" s="480">
        <v>2613</v>
      </c>
      <c r="E223" s="465">
        <v>2.2000000000000002</v>
      </c>
      <c r="F223" s="466">
        <f t="shared" si="82"/>
        <v>11890021</v>
      </c>
      <c r="G223" s="466">
        <f t="shared" si="83"/>
        <v>2098239</v>
      </c>
      <c r="H223" s="467">
        <f t="shared" si="91"/>
        <v>0.92233020222864259</v>
      </c>
      <c r="I223" s="467">
        <f t="shared" si="91"/>
        <v>10.856276555920498</v>
      </c>
      <c r="J223" s="467">
        <f t="shared" si="91"/>
        <v>0.43267284747434737</v>
      </c>
      <c r="K223" s="467">
        <f t="shared" si="91"/>
        <v>5.562064660209045E-2</v>
      </c>
      <c r="L223" s="468">
        <f t="shared" si="92"/>
        <v>1936.8934246801493</v>
      </c>
      <c r="M223" s="468">
        <f t="shared" si="92"/>
        <v>93363.978380916291</v>
      </c>
      <c r="N223" s="468">
        <f t="shared" si="92"/>
        <v>166276.17528439171</v>
      </c>
      <c r="O223" s="468">
        <f t="shared" si="92"/>
        <v>2786.5943947647315</v>
      </c>
      <c r="P223" s="468">
        <f t="shared" si="85"/>
        <v>4738.4111689199999</v>
      </c>
      <c r="Q223" s="468">
        <f t="shared" si="86"/>
        <v>269102.05265367287</v>
      </c>
      <c r="R223" s="469">
        <f t="shared" si="87"/>
        <v>79617.587188296602</v>
      </c>
      <c r="W223" s="470">
        <f t="shared" si="88"/>
        <v>573.05687412342161</v>
      </c>
      <c r="X223" s="470">
        <f t="shared" si="79"/>
        <v>27623.032287142927</v>
      </c>
      <c r="Y223" s="470">
        <f t="shared" si="80"/>
        <v>49195.120410616677</v>
      </c>
      <c r="Z223" s="470">
        <f t="shared" si="81"/>
        <v>824.45273083490736</v>
      </c>
    </row>
    <row r="224" spans="1:26" ht="15" customHeight="1" x14ac:dyDescent="0.3">
      <c r="A224" s="463">
        <f t="shared" si="90"/>
        <v>19</v>
      </c>
      <c r="B224" s="463">
        <f t="shared" si="89"/>
        <v>2037</v>
      </c>
      <c r="C224" s="479">
        <v>14883.5</v>
      </c>
      <c r="D224" s="480">
        <v>2626.5</v>
      </c>
      <c r="E224" s="465">
        <v>2.2000000000000002</v>
      </c>
      <c r="F224" s="466">
        <f t="shared" si="82"/>
        <v>11951450.500000002</v>
      </c>
      <c r="G224" s="466">
        <f t="shared" si="83"/>
        <v>2109079.5</v>
      </c>
      <c r="H224" s="467">
        <f t="shared" si="91"/>
        <v>0.92709539845140843</v>
      </c>
      <c r="I224" s="467">
        <f t="shared" si="91"/>
        <v>10.912365240767393</v>
      </c>
      <c r="J224" s="467">
        <f t="shared" si="91"/>
        <v>0.43490824106060988</v>
      </c>
      <c r="K224" s="467">
        <f t="shared" si="91"/>
        <v>5.5908009299805043E-2</v>
      </c>
      <c r="L224" s="468">
        <f t="shared" si="92"/>
        <v>1946.9003367479577</v>
      </c>
      <c r="M224" s="468">
        <f t="shared" si="92"/>
        <v>93846.341070599578</v>
      </c>
      <c r="N224" s="468">
        <f t="shared" si="92"/>
        <v>167135.23703959238</v>
      </c>
      <c r="O224" s="468">
        <f t="shared" si="92"/>
        <v>2800.9912659202328</v>
      </c>
      <c r="P224" s="468">
        <f t="shared" si="85"/>
        <v>4762.8920532600005</v>
      </c>
      <c r="Q224" s="468">
        <f t="shared" si="86"/>
        <v>270492.36176612013</v>
      </c>
      <c r="R224" s="469">
        <f t="shared" si="87"/>
        <v>74793.392044114808</v>
      </c>
      <c r="W224" s="470">
        <f t="shared" si="88"/>
        <v>538.33416665241987</v>
      </c>
      <c r="X224" s="470">
        <f t="shared" si="79"/>
        <v>25949.295328598171</v>
      </c>
      <c r="Y224" s="470">
        <f t="shared" si="80"/>
        <v>46214.285781189203</v>
      </c>
      <c r="Z224" s="470">
        <f t="shared" si="81"/>
        <v>774.49742571752461</v>
      </c>
    </row>
    <row r="225" spans="1:28" ht="15" customHeight="1" x14ac:dyDescent="0.3">
      <c r="A225" s="463">
        <f t="shared" si="90"/>
        <v>20</v>
      </c>
      <c r="B225" s="463">
        <f t="shared" si="89"/>
        <v>2038</v>
      </c>
      <c r="C225" s="479">
        <v>14951.5</v>
      </c>
      <c r="D225" s="480">
        <v>2638.5</v>
      </c>
      <c r="E225" s="465">
        <v>2.2000000000000002</v>
      </c>
      <c r="F225" s="466">
        <f t="shared" si="82"/>
        <v>12006054.500000002</v>
      </c>
      <c r="G225" s="466">
        <f t="shared" si="83"/>
        <v>2118715.5000000005</v>
      </c>
      <c r="H225" s="467">
        <f t="shared" si="91"/>
        <v>0.93133112842720023</v>
      </c>
      <c r="I225" s="467">
        <f t="shared" si="91"/>
        <v>10.962221849520184</v>
      </c>
      <c r="J225" s="467">
        <f t="shared" si="91"/>
        <v>0.43689525758173209</v>
      </c>
      <c r="K225" s="467">
        <f t="shared" si="91"/>
        <v>5.6163442808884675E-2</v>
      </c>
      <c r="L225" s="468">
        <f t="shared" si="92"/>
        <v>1955.7953696971206</v>
      </c>
      <c r="M225" s="468">
        <f t="shared" si="92"/>
        <v>94275.107905873578</v>
      </c>
      <c r="N225" s="468">
        <f t="shared" si="92"/>
        <v>167898.84748865964</v>
      </c>
      <c r="O225" s="468">
        <f t="shared" si="92"/>
        <v>2813.7884847251221</v>
      </c>
      <c r="P225" s="468">
        <f t="shared" si="85"/>
        <v>4784.6528393400004</v>
      </c>
      <c r="Q225" s="468">
        <f t="shared" si="86"/>
        <v>271728.19208829541</v>
      </c>
      <c r="R225" s="469">
        <f t="shared" si="87"/>
        <v>70219.728435872661</v>
      </c>
      <c r="W225" s="470">
        <f t="shared" si="88"/>
        <v>505.41468914511159</v>
      </c>
      <c r="X225" s="470">
        <f t="shared" si="79"/>
        <v>24362.479375205719</v>
      </c>
      <c r="Y225" s="470">
        <f t="shared" si="80"/>
        <v>43388.252741617245</v>
      </c>
      <c r="Z225" s="470">
        <f t="shared" si="81"/>
        <v>727.13641435181262</v>
      </c>
    </row>
    <row r="226" spans="1:28" ht="15" customHeight="1" x14ac:dyDescent="0.3">
      <c r="A226" s="463">
        <f t="shared" si="90"/>
        <v>21</v>
      </c>
      <c r="B226" s="463">
        <f t="shared" si="89"/>
        <v>2039</v>
      </c>
      <c r="C226" s="479">
        <v>15019.5</v>
      </c>
      <c r="D226" s="480">
        <v>2650.5</v>
      </c>
      <c r="E226" s="465">
        <v>2.2000000000000002</v>
      </c>
      <c r="F226" s="466">
        <f t="shared" si="82"/>
        <v>12060658.5</v>
      </c>
      <c r="G226" s="466">
        <f t="shared" si="83"/>
        <v>2128351.5</v>
      </c>
      <c r="H226" s="467">
        <f t="shared" si="91"/>
        <v>0.93556685840299181</v>
      </c>
      <c r="I226" s="467">
        <f t="shared" si="91"/>
        <v>11.012078458272978</v>
      </c>
      <c r="J226" s="467">
        <f t="shared" si="91"/>
        <v>0.43888227410285413</v>
      </c>
      <c r="K226" s="467">
        <f t="shared" si="91"/>
        <v>5.6418876317964307E-2</v>
      </c>
      <c r="L226" s="468">
        <f t="shared" si="92"/>
        <v>1964.6904026462828</v>
      </c>
      <c r="M226" s="468">
        <f t="shared" si="92"/>
        <v>94703.874741147607</v>
      </c>
      <c r="N226" s="468">
        <f t="shared" si="92"/>
        <v>168662.45793772684</v>
      </c>
      <c r="O226" s="468">
        <f t="shared" si="92"/>
        <v>2826.5857035300119</v>
      </c>
      <c r="P226" s="468">
        <f t="shared" si="85"/>
        <v>4806.4136254200002</v>
      </c>
      <c r="Q226" s="468">
        <f t="shared" si="86"/>
        <v>272964.02241047076</v>
      </c>
      <c r="R226" s="469">
        <f t="shared" si="87"/>
        <v>65924.383621847068</v>
      </c>
      <c r="W226" s="470">
        <f t="shared" si="88"/>
        <v>474.49844363535567</v>
      </c>
      <c r="X226" s="470">
        <f t="shared" si="79"/>
        <v>22872.225115155972</v>
      </c>
      <c r="Y226" s="470">
        <f t="shared" si="80"/>
        <v>40734.190834021909</v>
      </c>
      <c r="Z226" s="470">
        <f t="shared" si="81"/>
        <v>682.65743820015246</v>
      </c>
    </row>
    <row r="227" spans="1:28" ht="15" customHeight="1" x14ac:dyDescent="0.3">
      <c r="A227" s="463">
        <f t="shared" si="90"/>
        <v>22</v>
      </c>
      <c r="B227" s="463">
        <f t="shared" si="89"/>
        <v>2040</v>
      </c>
      <c r="C227" s="479">
        <v>15087.5</v>
      </c>
      <c r="D227" s="480">
        <v>2662.5</v>
      </c>
      <c r="E227" s="465">
        <v>2.2000000000000002</v>
      </c>
      <c r="F227" s="466">
        <f t="shared" si="82"/>
        <v>12115262.5</v>
      </c>
      <c r="G227" s="466">
        <f t="shared" si="83"/>
        <v>2137987.5000000005</v>
      </c>
      <c r="H227" s="467">
        <f t="shared" si="91"/>
        <v>0.93980258837878361</v>
      </c>
      <c r="I227" s="467">
        <f t="shared" si="91"/>
        <v>11.061935067025768</v>
      </c>
      <c r="J227" s="467">
        <f t="shared" si="91"/>
        <v>0.44086929062397628</v>
      </c>
      <c r="K227" s="467">
        <f t="shared" si="91"/>
        <v>5.6674309827043946E-2</v>
      </c>
      <c r="L227" s="468">
        <f t="shared" si="92"/>
        <v>1973.5854355954457</v>
      </c>
      <c r="M227" s="468">
        <f t="shared" si="92"/>
        <v>95132.641576421607</v>
      </c>
      <c r="N227" s="468">
        <f t="shared" si="92"/>
        <v>169426.0683867941</v>
      </c>
      <c r="O227" s="468">
        <f t="shared" si="92"/>
        <v>2839.3829223349017</v>
      </c>
      <c r="P227" s="468">
        <f t="shared" si="85"/>
        <v>4828.1744115000001</v>
      </c>
      <c r="Q227" s="468">
        <f t="shared" si="86"/>
        <v>274199.85273264605</v>
      </c>
      <c r="R227" s="469">
        <f t="shared" si="87"/>
        <v>61890.516652004575</v>
      </c>
      <c r="W227" s="470">
        <f t="shared" si="88"/>
        <v>445.46421542016748</v>
      </c>
      <c r="X227" s="470">
        <f t="shared" si="79"/>
        <v>21472.689642089314</v>
      </c>
      <c r="Y227" s="470">
        <f t="shared" si="80"/>
        <v>38241.694159480874</v>
      </c>
      <c r="Z227" s="470">
        <f t="shared" si="81"/>
        <v>640.88610655647972</v>
      </c>
    </row>
    <row r="228" spans="1:28" ht="15" customHeight="1" x14ac:dyDescent="0.3">
      <c r="A228" s="463">
        <f t="shared" si="90"/>
        <v>23</v>
      </c>
      <c r="B228" s="463">
        <f t="shared" si="89"/>
        <v>2041</v>
      </c>
      <c r="C228" s="479">
        <v>15155.5</v>
      </c>
      <c r="D228" s="480">
        <v>2674.5</v>
      </c>
      <c r="E228" s="465">
        <v>2.2000000000000002</v>
      </c>
      <c r="F228" s="466">
        <f t="shared" si="82"/>
        <v>12169866.500000002</v>
      </c>
      <c r="G228" s="466">
        <f t="shared" si="83"/>
        <v>2147623.5</v>
      </c>
      <c r="H228" s="467">
        <f t="shared" si="91"/>
        <v>0.94403831835457519</v>
      </c>
      <c r="I228" s="467">
        <f t="shared" si="91"/>
        <v>11.111791675778559</v>
      </c>
      <c r="J228" s="467">
        <f t="shared" si="91"/>
        <v>0.44285630714509844</v>
      </c>
      <c r="K228" s="467">
        <f t="shared" si="91"/>
        <v>5.6929743336123585E-2</v>
      </c>
      <c r="L228" s="468">
        <f t="shared" si="92"/>
        <v>1982.4804685446079</v>
      </c>
      <c r="M228" s="468">
        <f t="shared" si="92"/>
        <v>95561.408411695607</v>
      </c>
      <c r="N228" s="468">
        <f t="shared" si="92"/>
        <v>170189.67883586133</v>
      </c>
      <c r="O228" s="468">
        <f t="shared" si="92"/>
        <v>2852.1801411397914</v>
      </c>
      <c r="P228" s="468">
        <f t="shared" si="85"/>
        <v>4849.9351975800009</v>
      </c>
      <c r="Q228" s="468">
        <f t="shared" si="86"/>
        <v>275435.68305482133</v>
      </c>
      <c r="R228" s="469">
        <f t="shared" si="87"/>
        <v>58102.298902474213</v>
      </c>
      <c r="W228" s="470">
        <f t="shared" si="88"/>
        <v>418.19807613224089</v>
      </c>
      <c r="X228" s="470">
        <f t="shared" si="79"/>
        <v>20158.381272526123</v>
      </c>
      <c r="Y228" s="470">
        <f t="shared" si="80"/>
        <v>35900.982327947553</v>
      </c>
      <c r="Z228" s="470">
        <f t="shared" si="81"/>
        <v>601.65851151254617</v>
      </c>
    </row>
    <row r="229" spans="1:28" ht="15" customHeight="1" x14ac:dyDescent="0.3">
      <c r="A229" s="463">
        <f t="shared" si="90"/>
        <v>24</v>
      </c>
      <c r="B229" s="463">
        <f t="shared" si="89"/>
        <v>2042</v>
      </c>
      <c r="C229" s="479">
        <v>15232</v>
      </c>
      <c r="D229" s="480">
        <v>2688</v>
      </c>
      <c r="E229" s="465">
        <v>2.2000000000000002</v>
      </c>
      <c r="F229" s="466">
        <f t="shared" si="82"/>
        <v>12231296</v>
      </c>
      <c r="G229" s="466">
        <f t="shared" si="83"/>
        <v>2158464</v>
      </c>
      <c r="H229" s="467">
        <f t="shared" si="91"/>
        <v>0.94880351457734091</v>
      </c>
      <c r="I229" s="467">
        <f t="shared" si="91"/>
        <v>11.167880360625452</v>
      </c>
      <c r="J229" s="467">
        <f t="shared" si="91"/>
        <v>0.44509170073136084</v>
      </c>
      <c r="K229" s="467">
        <f t="shared" si="91"/>
        <v>5.7217106033838165E-2</v>
      </c>
      <c r="L229" s="468">
        <f t="shared" si="92"/>
        <v>1992.487380612416</v>
      </c>
      <c r="M229" s="468">
        <f t="shared" si="92"/>
        <v>96043.771101378879</v>
      </c>
      <c r="N229" s="468">
        <f t="shared" si="92"/>
        <v>171048.74059106197</v>
      </c>
      <c r="O229" s="468">
        <f t="shared" si="92"/>
        <v>2866.5770122952922</v>
      </c>
      <c r="P229" s="468">
        <f t="shared" si="85"/>
        <v>4874.4160819199997</v>
      </c>
      <c r="Q229" s="468">
        <f t="shared" si="86"/>
        <v>276825.99216726853</v>
      </c>
      <c r="R229" s="469">
        <f t="shared" si="87"/>
        <v>54575.308669748963</v>
      </c>
      <c r="W229" s="470">
        <f t="shared" si="88"/>
        <v>392.81215237836875</v>
      </c>
      <c r="X229" s="470">
        <f t="shared" si="79"/>
        <v>18934.704839772734</v>
      </c>
      <c r="Y229" s="470">
        <f t="shared" si="80"/>
        <v>33721.681054026354</v>
      </c>
      <c r="Z229" s="470">
        <f t="shared" si="81"/>
        <v>565.13596879693614</v>
      </c>
    </row>
    <row r="230" spans="1:28" ht="15" customHeight="1" x14ac:dyDescent="0.3">
      <c r="A230" s="463">
        <f t="shared" si="90"/>
        <v>25</v>
      </c>
      <c r="B230" s="463">
        <f t="shared" si="89"/>
        <v>2043</v>
      </c>
      <c r="C230" s="479">
        <v>15300</v>
      </c>
      <c r="D230" s="480">
        <v>2700</v>
      </c>
      <c r="E230" s="465">
        <v>2.2000000000000002</v>
      </c>
      <c r="F230" s="466">
        <f t="shared" si="82"/>
        <v>12285900</v>
      </c>
      <c r="G230" s="466">
        <f t="shared" si="83"/>
        <v>2168100.0000000005</v>
      </c>
      <c r="H230" s="467">
        <f t="shared" si="91"/>
        <v>0.9530392445531326</v>
      </c>
      <c r="I230" s="467">
        <f t="shared" si="91"/>
        <v>11.217736969378244</v>
      </c>
      <c r="J230" s="467">
        <f t="shared" si="91"/>
        <v>0.4470787172524831</v>
      </c>
      <c r="K230" s="467">
        <f t="shared" si="91"/>
        <v>5.7472539542917804E-2</v>
      </c>
      <c r="L230" s="468">
        <f t="shared" si="92"/>
        <v>2001.3824135615785</v>
      </c>
      <c r="M230" s="468">
        <f t="shared" si="92"/>
        <v>96472.537936652894</v>
      </c>
      <c r="N230" s="468">
        <f t="shared" si="92"/>
        <v>171812.35104012926</v>
      </c>
      <c r="O230" s="468">
        <f t="shared" si="92"/>
        <v>2879.374231100182</v>
      </c>
      <c r="P230" s="468">
        <f t="shared" si="85"/>
        <v>4896.1768679999996</v>
      </c>
      <c r="Q230" s="468">
        <f t="shared" si="86"/>
        <v>278061.82248944393</v>
      </c>
      <c r="R230" s="469">
        <f t="shared" si="87"/>
        <v>51232.662094015024</v>
      </c>
      <c r="W230" s="470">
        <f t="shared" si="88"/>
        <v>368.75306360619555</v>
      </c>
      <c r="X230" s="470">
        <f t="shared" si="79"/>
        <v>17774.985768311351</v>
      </c>
      <c r="Y230" s="470">
        <f t="shared" si="80"/>
        <v>31656.284367306118</v>
      </c>
      <c r="Z230" s="470">
        <f t="shared" si="81"/>
        <v>530.52233385893953</v>
      </c>
    </row>
    <row r="231" spans="1:28" ht="15" customHeight="1" x14ac:dyDescent="0.3">
      <c r="A231" s="463">
        <f t="shared" si="90"/>
        <v>26</v>
      </c>
      <c r="B231" s="463">
        <f t="shared" si="89"/>
        <v>2044</v>
      </c>
      <c r="C231" s="479">
        <v>15368</v>
      </c>
      <c r="D231" s="480">
        <v>2712</v>
      </c>
      <c r="E231" s="465">
        <v>2.2000000000000002</v>
      </c>
      <c r="F231" s="466">
        <f t="shared" si="82"/>
        <v>12340504.000000002</v>
      </c>
      <c r="G231" s="466">
        <f t="shared" si="83"/>
        <v>2177736</v>
      </c>
      <c r="H231" s="467">
        <f t="shared" si="91"/>
        <v>0.95727497452892429</v>
      </c>
      <c r="I231" s="467">
        <f t="shared" si="91"/>
        <v>11.267593578131036</v>
      </c>
      <c r="J231" s="467">
        <f t="shared" si="91"/>
        <v>0.4490657337736052</v>
      </c>
      <c r="K231" s="467">
        <f t="shared" si="91"/>
        <v>5.7727973051997443E-2</v>
      </c>
      <c r="L231" s="468">
        <f t="shared" si="92"/>
        <v>2010.2774465107411</v>
      </c>
      <c r="M231" s="468">
        <f t="shared" si="92"/>
        <v>96901.304771926909</v>
      </c>
      <c r="N231" s="468">
        <f t="shared" si="92"/>
        <v>172575.96148919649</v>
      </c>
      <c r="O231" s="468">
        <f t="shared" si="92"/>
        <v>2892.1714499050718</v>
      </c>
      <c r="P231" s="468">
        <f t="shared" si="85"/>
        <v>4917.9376540800013</v>
      </c>
      <c r="Q231" s="468">
        <f t="shared" si="86"/>
        <v>279297.65281161922</v>
      </c>
      <c r="R231" s="469">
        <f t="shared" si="87"/>
        <v>48093.797022834457</v>
      </c>
      <c r="W231" s="470">
        <f t="shared" si="88"/>
        <v>346.16071599169351</v>
      </c>
      <c r="X231" s="470">
        <f t="shared" si="79"/>
        <v>16685.967948653648</v>
      </c>
      <c r="Y231" s="470">
        <f t="shared" si="80"/>
        <v>29716.802770555278</v>
      </c>
      <c r="Z231" s="470">
        <f t="shared" si="81"/>
        <v>498.01888869001181</v>
      </c>
    </row>
    <row r="232" spans="1:28" ht="15" customHeight="1" x14ac:dyDescent="0.3">
      <c r="A232" s="463">
        <f t="shared" si="90"/>
        <v>27</v>
      </c>
      <c r="B232" s="463">
        <f t="shared" si="89"/>
        <v>2045</v>
      </c>
      <c r="C232" s="479">
        <v>15436</v>
      </c>
      <c r="D232" s="480">
        <v>2724</v>
      </c>
      <c r="E232" s="465">
        <v>2.2000000000000002</v>
      </c>
      <c r="F232" s="466">
        <f t="shared" si="82"/>
        <v>12395108.000000002</v>
      </c>
      <c r="G232" s="466">
        <f t="shared" si="83"/>
        <v>2187372</v>
      </c>
      <c r="H232" s="467">
        <f t="shared" si="91"/>
        <v>0.96151070450471599</v>
      </c>
      <c r="I232" s="467">
        <f t="shared" si="91"/>
        <v>11.317450186883827</v>
      </c>
      <c r="J232" s="467">
        <f t="shared" si="91"/>
        <v>0.45105275029472724</v>
      </c>
      <c r="K232" s="467">
        <f t="shared" si="91"/>
        <v>5.7983406561077075E-2</v>
      </c>
      <c r="L232" s="468">
        <f t="shared" si="92"/>
        <v>2019.1724794599036</v>
      </c>
      <c r="M232" s="468">
        <f t="shared" si="92"/>
        <v>97330.071607200909</v>
      </c>
      <c r="N232" s="468">
        <f t="shared" si="92"/>
        <v>173339.57193826369</v>
      </c>
      <c r="O232" s="468">
        <f t="shared" si="92"/>
        <v>2904.9686687099615</v>
      </c>
      <c r="P232" s="468">
        <f t="shared" si="85"/>
        <v>4939.6984401600012</v>
      </c>
      <c r="Q232" s="468">
        <f t="shared" si="86"/>
        <v>280533.48313379451</v>
      </c>
      <c r="R232" s="469">
        <f t="shared" si="87"/>
        <v>45146.356480784962</v>
      </c>
      <c r="W232" s="470">
        <f t="shared" si="88"/>
        <v>324.94616876236211</v>
      </c>
      <c r="X232" s="470">
        <f t="shared" si="79"/>
        <v>15663.364173122061</v>
      </c>
      <c r="Y232" s="470">
        <f t="shared" si="80"/>
        <v>27895.600979720639</v>
      </c>
      <c r="Z232" s="470">
        <f t="shared" si="81"/>
        <v>467.49767485167752</v>
      </c>
    </row>
    <row r="233" spans="1:28" ht="15" customHeight="1" x14ac:dyDescent="0.3">
      <c r="A233" s="463">
        <f t="shared" si="90"/>
        <v>28</v>
      </c>
      <c r="B233" s="463">
        <f t="shared" si="89"/>
        <v>2046</v>
      </c>
      <c r="C233" s="479">
        <v>15504</v>
      </c>
      <c r="D233" s="480">
        <v>2736</v>
      </c>
      <c r="E233" s="465">
        <v>2.2000000000000002</v>
      </c>
      <c r="F233" s="466">
        <f t="shared" si="82"/>
        <v>12449712.000000002</v>
      </c>
      <c r="G233" s="466">
        <f t="shared" si="83"/>
        <v>2197008.0000000005</v>
      </c>
      <c r="H233" s="467">
        <f t="shared" si="91"/>
        <v>0.96574643448050779</v>
      </c>
      <c r="I233" s="467">
        <f t="shared" si="91"/>
        <v>11.367306795636622</v>
      </c>
      <c r="J233" s="467">
        <f t="shared" si="91"/>
        <v>0.45303976681584951</v>
      </c>
      <c r="K233" s="467">
        <f t="shared" si="91"/>
        <v>5.8238840070156707E-2</v>
      </c>
      <c r="L233" s="468">
        <f t="shared" si="92"/>
        <v>2028.0675124090662</v>
      </c>
      <c r="M233" s="468">
        <f t="shared" si="92"/>
        <v>97758.838442474953</v>
      </c>
      <c r="N233" s="468">
        <f t="shared" si="92"/>
        <v>174103.18238733098</v>
      </c>
      <c r="O233" s="468">
        <f t="shared" si="92"/>
        <v>2917.7658875148509</v>
      </c>
      <c r="P233" s="468">
        <f t="shared" si="85"/>
        <v>4961.459226240001</v>
      </c>
      <c r="Q233" s="468">
        <f t="shared" si="86"/>
        <v>281769.31345596985</v>
      </c>
      <c r="R233" s="469">
        <f t="shared" si="87"/>
        <v>42378.72813874171</v>
      </c>
      <c r="W233" s="470">
        <f t="shared" si="88"/>
        <v>305.02584082431792</v>
      </c>
      <c r="X233" s="470">
        <f t="shared" si="79"/>
        <v>14703.145586363506</v>
      </c>
      <c r="Y233" s="470">
        <f t="shared" si="80"/>
        <v>26185.503822208855</v>
      </c>
      <c r="Z233" s="470">
        <f t="shared" si="81"/>
        <v>438.83844483586188</v>
      </c>
    </row>
    <row r="234" spans="1:28" ht="15" customHeight="1" x14ac:dyDescent="0.3">
      <c r="A234" s="463">
        <f t="shared" si="90"/>
        <v>29</v>
      </c>
      <c r="B234" s="463">
        <f t="shared" si="89"/>
        <v>2047</v>
      </c>
      <c r="C234" s="479">
        <v>15572</v>
      </c>
      <c r="D234" s="480">
        <v>2748</v>
      </c>
      <c r="E234" s="465">
        <v>2.2000000000000002</v>
      </c>
      <c r="F234" s="466">
        <f t="shared" si="82"/>
        <v>12504316</v>
      </c>
      <c r="G234" s="466">
        <f t="shared" si="83"/>
        <v>2206644</v>
      </c>
      <c r="H234" s="467">
        <f t="shared" si="91"/>
        <v>0.96998216445629926</v>
      </c>
      <c r="I234" s="467">
        <f t="shared" si="91"/>
        <v>11.417163404389413</v>
      </c>
      <c r="J234" s="467">
        <f t="shared" si="91"/>
        <v>0.4550267833369715</v>
      </c>
      <c r="K234" s="467">
        <f t="shared" si="91"/>
        <v>5.8494273579236339E-2</v>
      </c>
      <c r="L234" s="468">
        <f t="shared" si="92"/>
        <v>2036.9625453582285</v>
      </c>
      <c r="M234" s="468">
        <f t="shared" si="92"/>
        <v>98187.605277748953</v>
      </c>
      <c r="N234" s="468">
        <f t="shared" si="92"/>
        <v>174866.79283639815</v>
      </c>
      <c r="O234" s="468">
        <f t="shared" si="92"/>
        <v>2930.5631063197407</v>
      </c>
      <c r="P234" s="468">
        <f t="shared" si="85"/>
        <v>4983.22001232</v>
      </c>
      <c r="Q234" s="468">
        <f t="shared" si="86"/>
        <v>283005.14377814508</v>
      </c>
      <c r="R234" s="469">
        <f t="shared" si="87"/>
        <v>39779.999769518974</v>
      </c>
      <c r="W234" s="470">
        <f t="shared" si="88"/>
        <v>286.32119014907687</v>
      </c>
      <c r="X234" s="470">
        <f t="shared" si="79"/>
        <v>13801.526230846213</v>
      </c>
      <c r="Y234" s="470">
        <f t="shared" si="80"/>
        <v>24579.768713255555</v>
      </c>
      <c r="Z234" s="470">
        <f t="shared" si="81"/>
        <v>411.92820080100165</v>
      </c>
    </row>
    <row r="235" spans="1:28" ht="15" customHeight="1" x14ac:dyDescent="0.3">
      <c r="A235" s="463">
        <f t="shared" si="90"/>
        <v>30</v>
      </c>
      <c r="B235" s="463">
        <f t="shared" si="89"/>
        <v>2048</v>
      </c>
      <c r="C235" s="479">
        <v>15648.5</v>
      </c>
      <c r="D235" s="480">
        <v>2761.5</v>
      </c>
      <c r="E235" s="465">
        <v>2.2000000000000002</v>
      </c>
      <c r="F235" s="466">
        <f t="shared" si="82"/>
        <v>12565745.500000002</v>
      </c>
      <c r="G235" s="466">
        <f t="shared" si="83"/>
        <v>2217484.5</v>
      </c>
      <c r="H235" s="467">
        <f t="shared" si="91"/>
        <v>0.97474736067906509</v>
      </c>
      <c r="I235" s="467">
        <f t="shared" si="91"/>
        <v>11.473252089236302</v>
      </c>
      <c r="J235" s="467">
        <f t="shared" si="91"/>
        <v>0.45726217692323401</v>
      </c>
      <c r="K235" s="467">
        <f t="shared" si="91"/>
        <v>5.8781636276950933E-2</v>
      </c>
      <c r="L235" s="468">
        <f t="shared" si="92"/>
        <v>2046.9694574260368</v>
      </c>
      <c r="M235" s="468">
        <f t="shared" si="92"/>
        <v>98669.967967432196</v>
      </c>
      <c r="N235" s="468">
        <f t="shared" si="92"/>
        <v>175725.85459159882</v>
      </c>
      <c r="O235" s="468">
        <f t="shared" si="92"/>
        <v>2944.9599774752419</v>
      </c>
      <c r="P235" s="468">
        <f t="shared" si="85"/>
        <v>5007.7008966600006</v>
      </c>
      <c r="Q235" s="468">
        <f t="shared" si="86"/>
        <v>284395.45289059228</v>
      </c>
      <c r="R235" s="469">
        <f t="shared" si="87"/>
        <v>37360.210778111061</v>
      </c>
      <c r="W235" s="470">
        <f t="shared" si="88"/>
        <v>268.90447652555332</v>
      </c>
      <c r="X235" s="470">
        <f t="shared" si="79"/>
        <v>12961.989241617288</v>
      </c>
      <c r="Y235" s="470">
        <f t="shared" si="80"/>
        <v>23084.598927224975</v>
      </c>
      <c r="Z235" s="470">
        <f t="shared" si="81"/>
        <v>386.87090237656827</v>
      </c>
    </row>
    <row r="236" spans="1:28" ht="15" customHeight="1" x14ac:dyDescent="0.3">
      <c r="A236" s="463">
        <f t="shared" si="90"/>
        <v>31</v>
      </c>
      <c r="B236" s="463">
        <f t="shared" si="89"/>
        <v>2049</v>
      </c>
      <c r="C236" s="481">
        <v>15648.5</v>
      </c>
      <c r="D236" s="482">
        <v>566.5</v>
      </c>
      <c r="E236" s="483">
        <v>2.2000000000000002</v>
      </c>
      <c r="F236" s="466">
        <f t="shared" si="82"/>
        <v>12565745.500000002</v>
      </c>
      <c r="G236" s="466">
        <f t="shared" si="83"/>
        <v>454899.50000000006</v>
      </c>
      <c r="H236" s="467">
        <f t="shared" si="91"/>
        <v>0.60078103053527443</v>
      </c>
      <c r="I236" s="467">
        <f t="shared" si="91"/>
        <v>4.5079129961462376</v>
      </c>
      <c r="J236" s="467">
        <f t="shared" si="91"/>
        <v>0.19011160557741399</v>
      </c>
      <c r="K236" s="467">
        <f t="shared" si="91"/>
        <v>3.6735034158489777E-2</v>
      </c>
      <c r="L236" s="468">
        <f t="shared" si="92"/>
        <v>1261.6401641240764</v>
      </c>
      <c r="M236" s="468">
        <f t="shared" si="92"/>
        <v>38768.051766857643</v>
      </c>
      <c r="N236" s="468">
        <f t="shared" si="92"/>
        <v>73059.890023400192</v>
      </c>
      <c r="O236" s="468">
        <f t="shared" si="92"/>
        <v>1840.4252113403379</v>
      </c>
      <c r="P236" s="468">
        <f t="shared" si="85"/>
        <v>5007.7008966600006</v>
      </c>
      <c r="Q236" s="468">
        <f t="shared" si="86"/>
        <v>119937.70806238224</v>
      </c>
      <c r="R236" s="469">
        <f t="shared" si="87"/>
        <v>14725.113033910238</v>
      </c>
      <c r="W236" s="470">
        <f t="shared" si="88"/>
        <v>154.89535630600321</v>
      </c>
      <c r="X236" s="470">
        <f t="shared" si="79"/>
        <v>4759.6702787962522</v>
      </c>
      <c r="Y236" s="470">
        <f t="shared" si="80"/>
        <v>8969.7823663602412</v>
      </c>
      <c r="Z236" s="470">
        <f t="shared" si="81"/>
        <v>225.9545367779503</v>
      </c>
    </row>
    <row r="237" spans="1:28" ht="15" customHeight="1" x14ac:dyDescent="0.3">
      <c r="A237" s="307" t="s">
        <v>40</v>
      </c>
      <c r="B237" s="308"/>
      <c r="C237" s="308"/>
      <c r="D237" s="308"/>
      <c r="E237" s="308"/>
      <c r="F237" s="308"/>
      <c r="G237" s="308"/>
      <c r="H237" s="308"/>
      <c r="I237" s="308"/>
      <c r="J237" s="308"/>
      <c r="K237" s="308"/>
      <c r="L237" s="308"/>
      <c r="M237" s="308"/>
      <c r="N237" s="308"/>
      <c r="O237" s="308"/>
      <c r="P237" s="308"/>
      <c r="Q237" s="308"/>
      <c r="R237" s="309">
        <f>SUM(R205:R234)</f>
        <v>1994531.6569662106</v>
      </c>
      <c r="W237" s="475">
        <f>SUM(W205:W234)</f>
        <v>14355.874336886183</v>
      </c>
      <c r="X237" s="475">
        <f>SUM(X205:X234)</f>
        <v>691995.5038050313</v>
      </c>
      <c r="Y237" s="475">
        <f>SUM(Y205:Y234)</f>
        <v>1232406.4128592792</v>
      </c>
      <c r="Z237" s="475">
        <f>SUM(Z205:Z234)</f>
        <v>20653.691343766102</v>
      </c>
      <c r="AB237" s="208"/>
    </row>
    <row r="239" spans="1:28" ht="15" customHeight="1" x14ac:dyDescent="0.25">
      <c r="A239" s="581" t="s">
        <v>179</v>
      </c>
      <c r="B239" s="582"/>
      <c r="C239" s="582"/>
      <c r="D239" s="582"/>
      <c r="E239" s="582"/>
      <c r="F239" s="582"/>
      <c r="G239" s="582"/>
      <c r="H239" s="582"/>
      <c r="I239" s="582"/>
      <c r="J239" s="582"/>
      <c r="K239" s="582"/>
      <c r="L239" s="582"/>
      <c r="M239" s="582"/>
      <c r="N239" s="582"/>
      <c r="O239" s="582"/>
      <c r="P239" s="582"/>
      <c r="Q239" s="582"/>
      <c r="R239" s="582"/>
    </row>
    <row r="240" spans="1:28" ht="15" customHeight="1" x14ac:dyDescent="0.3">
      <c r="A240" s="476" t="s">
        <v>145</v>
      </c>
      <c r="B240" s="476" t="s">
        <v>146</v>
      </c>
      <c r="C240" s="476" t="s">
        <v>147</v>
      </c>
      <c r="D240" s="476" t="s">
        <v>148</v>
      </c>
      <c r="E240" s="476" t="s">
        <v>149</v>
      </c>
      <c r="F240" s="476" t="s">
        <v>150</v>
      </c>
      <c r="G240" s="476" t="s">
        <v>151</v>
      </c>
      <c r="H240" s="476" t="s">
        <v>152</v>
      </c>
      <c r="I240" s="476" t="s">
        <v>153</v>
      </c>
      <c r="J240" s="476" t="s">
        <v>154</v>
      </c>
      <c r="K240" s="476" t="s">
        <v>155</v>
      </c>
      <c r="L240" s="476" t="s">
        <v>88</v>
      </c>
      <c r="M240" s="476" t="s">
        <v>156</v>
      </c>
      <c r="N240" s="476" t="s">
        <v>157</v>
      </c>
      <c r="O240" s="476" t="s">
        <v>158</v>
      </c>
      <c r="P240" s="477" t="s">
        <v>159</v>
      </c>
      <c r="Q240" s="477" t="s">
        <v>192</v>
      </c>
      <c r="R240" s="477" t="s">
        <v>160</v>
      </c>
    </row>
    <row r="241" spans="1:26" ht="15" customHeight="1" x14ac:dyDescent="0.3">
      <c r="A241" s="151" t="s">
        <v>193</v>
      </c>
      <c r="B241" s="151" t="s">
        <v>253</v>
      </c>
      <c r="C241" s="151" t="s">
        <v>254</v>
      </c>
      <c r="D241" s="151"/>
      <c r="E241" s="151"/>
      <c r="F241" s="151"/>
      <c r="G241" s="151"/>
      <c r="H241" s="151"/>
      <c r="I241" s="151"/>
      <c r="J241" s="151"/>
      <c r="K241" s="151"/>
      <c r="L241" s="151"/>
      <c r="M241" s="151"/>
      <c r="N241" s="151"/>
      <c r="O241" s="151"/>
      <c r="P241" s="151"/>
      <c r="Q241" s="151"/>
      <c r="R241" s="152"/>
    </row>
    <row r="242" spans="1:26" ht="15" customHeight="1" x14ac:dyDescent="0.3">
      <c r="A242" s="151" t="s">
        <v>196</v>
      </c>
      <c r="B242" s="151">
        <v>22276</v>
      </c>
      <c r="C242" s="151"/>
      <c r="D242" s="151"/>
      <c r="E242" s="151"/>
      <c r="F242" s="151"/>
      <c r="G242" s="151"/>
      <c r="H242" s="151" t="s">
        <v>197</v>
      </c>
      <c r="I242" s="151"/>
      <c r="J242" s="151"/>
      <c r="K242" s="151"/>
      <c r="L242" s="151" t="s">
        <v>198</v>
      </c>
      <c r="M242" s="151"/>
      <c r="N242" s="151"/>
      <c r="O242" s="151"/>
      <c r="P242" s="453" t="s">
        <v>199</v>
      </c>
      <c r="Q242" s="454"/>
      <c r="R242" s="455"/>
    </row>
    <row r="243" spans="1:26" ht="15" customHeight="1" x14ac:dyDescent="0.3">
      <c r="A243" s="151" t="s">
        <v>200</v>
      </c>
      <c r="B243" s="151"/>
      <c r="C243" s="151">
        <v>2018</v>
      </c>
      <c r="D243" s="151"/>
      <c r="E243" s="151"/>
      <c r="F243" s="151"/>
      <c r="G243" s="151"/>
      <c r="H243" s="151" t="s">
        <v>201</v>
      </c>
      <c r="I243" s="151"/>
      <c r="J243" s="151"/>
      <c r="K243" s="151"/>
      <c r="L243" s="151" t="s">
        <v>202</v>
      </c>
      <c r="M243" s="151"/>
      <c r="N243" s="151"/>
      <c r="O243" s="151"/>
      <c r="P243" s="303" t="s">
        <v>255</v>
      </c>
      <c r="Q243" s="151"/>
      <c r="R243" s="153"/>
    </row>
    <row r="244" spans="1:26" ht="15" customHeight="1" x14ac:dyDescent="0.3">
      <c r="A244" s="151" t="s">
        <v>204</v>
      </c>
      <c r="B244" s="151"/>
      <c r="C244" s="151">
        <v>38390</v>
      </c>
      <c r="D244" s="151" t="s">
        <v>205</v>
      </c>
      <c r="E244" s="151"/>
      <c r="F244" s="151"/>
      <c r="G244" s="151"/>
      <c r="H244" s="151" t="s">
        <v>206</v>
      </c>
      <c r="I244" s="151"/>
      <c r="J244" s="151"/>
      <c r="K244" s="151"/>
      <c r="L244" s="151" t="s">
        <v>207</v>
      </c>
      <c r="M244" s="151" t="s">
        <v>208</v>
      </c>
      <c r="N244" s="151" t="s">
        <v>209</v>
      </c>
      <c r="O244" s="151" t="s">
        <v>210</v>
      </c>
      <c r="P244" s="456" t="s">
        <v>211</v>
      </c>
      <c r="Q244" s="457"/>
      <c r="R244" s="458"/>
    </row>
    <row r="245" spans="1:26" ht="15" customHeight="1" x14ac:dyDescent="0.3">
      <c r="A245" s="151" t="s">
        <v>212</v>
      </c>
      <c r="B245" s="151"/>
      <c r="C245" s="189">
        <v>0.1</v>
      </c>
      <c r="D245" s="151"/>
      <c r="E245" s="154"/>
      <c r="F245" s="151"/>
      <c r="G245" s="151"/>
      <c r="H245" s="151" t="s">
        <v>207</v>
      </c>
      <c r="I245" s="151" t="s">
        <v>213</v>
      </c>
      <c r="J245" s="151" t="s">
        <v>209</v>
      </c>
      <c r="K245" s="151" t="s">
        <v>210</v>
      </c>
      <c r="L245" s="304">
        <v>2100</v>
      </c>
      <c r="M245" s="305">
        <v>8600</v>
      </c>
      <c r="N245" s="305">
        <v>384300</v>
      </c>
      <c r="O245" s="306">
        <v>50100</v>
      </c>
      <c r="P245" s="155"/>
      <c r="Q245" s="151"/>
      <c r="R245" s="152"/>
    </row>
    <row r="246" spans="1:26" ht="15" customHeight="1" x14ac:dyDescent="0.3">
      <c r="A246" s="151" t="s">
        <v>214</v>
      </c>
      <c r="B246" s="151"/>
      <c r="C246" s="151">
        <v>3647.05</v>
      </c>
      <c r="D246" s="151" t="s">
        <v>215</v>
      </c>
      <c r="E246" s="151"/>
      <c r="F246" s="151"/>
      <c r="G246" s="151"/>
      <c r="H246" s="156">
        <v>3.6432281029351699E-2</v>
      </c>
      <c r="I246" s="156">
        <v>0.19581096457956468</v>
      </c>
      <c r="J246" s="156">
        <v>8.753858610025091E-3</v>
      </c>
      <c r="K246" s="156">
        <v>2.2429538425628756E-3</v>
      </c>
      <c r="L246" s="155"/>
      <c r="M246" s="155"/>
      <c r="N246" s="155"/>
      <c r="O246" s="155"/>
      <c r="P246" s="155"/>
      <c r="Q246" s="151"/>
      <c r="R246" s="152"/>
    </row>
    <row r="247" spans="1:26" ht="15" customHeight="1" x14ac:dyDescent="0.3">
      <c r="A247" s="151" t="s">
        <v>216</v>
      </c>
      <c r="B247" s="151"/>
      <c r="C247" s="151">
        <v>1.1515</v>
      </c>
      <c r="D247" s="151"/>
      <c r="E247" s="151"/>
      <c r="F247" s="151"/>
      <c r="G247" s="151"/>
      <c r="H247" s="151" t="s">
        <v>217</v>
      </c>
      <c r="I247" s="151"/>
      <c r="J247" s="151"/>
      <c r="K247" s="151"/>
      <c r="L247" s="151"/>
      <c r="M247" s="151"/>
      <c r="N247" s="151"/>
      <c r="O247" s="151"/>
      <c r="P247" s="151"/>
      <c r="Q247" s="151"/>
      <c r="R247" s="152"/>
    </row>
    <row r="248" spans="1:26" ht="15" customHeight="1" x14ac:dyDescent="0.3">
      <c r="A248" s="151" t="s">
        <v>218</v>
      </c>
      <c r="B248" s="151"/>
      <c r="C248" s="151">
        <v>2025</v>
      </c>
      <c r="D248" s="151"/>
      <c r="E248" s="151"/>
      <c r="F248" s="151"/>
      <c r="G248" s="151"/>
      <c r="H248" s="151" t="s">
        <v>207</v>
      </c>
      <c r="I248" s="151" t="s">
        <v>213</v>
      </c>
      <c r="J248" s="151" t="s">
        <v>209</v>
      </c>
      <c r="K248" s="151" t="s">
        <v>210</v>
      </c>
      <c r="L248" s="151"/>
      <c r="M248" s="151"/>
      <c r="N248" s="151"/>
      <c r="O248" s="151"/>
      <c r="P248" s="151"/>
      <c r="Q248" s="151"/>
      <c r="R248" s="152"/>
    </row>
    <row r="249" spans="1:26" ht="15" customHeight="1" x14ac:dyDescent="0.3">
      <c r="A249" s="151" t="s">
        <v>219</v>
      </c>
      <c r="B249" s="151"/>
      <c r="C249" s="151">
        <v>0.7</v>
      </c>
      <c r="D249" s="151" t="s">
        <v>220</v>
      </c>
      <c r="E249" s="151"/>
      <c r="F249" s="151"/>
      <c r="G249" s="151"/>
      <c r="H249" s="156">
        <v>0.1926184710123312</v>
      </c>
      <c r="I249" s="156">
        <v>3.5876303775197051</v>
      </c>
      <c r="J249" s="156">
        <v>0.13760098285564054</v>
      </c>
      <c r="K249" s="156">
        <v>1.13555217375917E-2</v>
      </c>
      <c r="L249" s="151"/>
      <c r="M249" s="151"/>
      <c r="N249" s="151"/>
      <c r="O249" s="151"/>
      <c r="P249" s="151"/>
      <c r="Q249" s="151"/>
      <c r="R249" s="152"/>
    </row>
    <row r="250" spans="1:26" ht="15" customHeight="1" x14ac:dyDescent="0.3">
      <c r="A250" s="151" t="s">
        <v>221</v>
      </c>
      <c r="B250" s="151"/>
      <c r="C250" s="151">
        <v>0.2</v>
      </c>
      <c r="D250" s="151" t="s">
        <v>222</v>
      </c>
      <c r="E250" s="151"/>
      <c r="F250" s="151"/>
      <c r="G250" s="151"/>
      <c r="H250" s="151" t="s">
        <v>223</v>
      </c>
      <c r="I250" s="151"/>
      <c r="J250" s="151"/>
      <c r="K250" s="151"/>
      <c r="L250" s="151" t="s">
        <v>224</v>
      </c>
      <c r="M250" s="151"/>
      <c r="N250" s="151"/>
      <c r="O250" s="151"/>
      <c r="P250" s="151"/>
      <c r="Q250" s="151"/>
      <c r="R250" s="152"/>
    </row>
    <row r="251" spans="1:26" ht="15" customHeight="1" x14ac:dyDescent="0.3">
      <c r="A251" s="459" t="s">
        <v>29</v>
      </c>
      <c r="B251" s="459" t="s">
        <v>30</v>
      </c>
      <c r="C251" s="478" t="s">
        <v>225</v>
      </c>
      <c r="D251" s="478" t="s">
        <v>226</v>
      </c>
      <c r="E251" s="478" t="s">
        <v>183</v>
      </c>
      <c r="F251" s="459" t="s">
        <v>227</v>
      </c>
      <c r="G251" s="459" t="s">
        <v>228</v>
      </c>
      <c r="H251" s="459" t="s">
        <v>229</v>
      </c>
      <c r="I251" s="459" t="s">
        <v>230</v>
      </c>
      <c r="J251" s="459" t="s">
        <v>231</v>
      </c>
      <c r="K251" s="459" t="s">
        <v>232</v>
      </c>
      <c r="L251" s="459" t="s">
        <v>233</v>
      </c>
      <c r="M251" s="459" t="s">
        <v>234</v>
      </c>
      <c r="N251" s="459" t="s">
        <v>235</v>
      </c>
      <c r="O251" s="459" t="s">
        <v>236</v>
      </c>
      <c r="P251" s="461" t="s">
        <v>237</v>
      </c>
      <c r="Q251" s="459" t="s">
        <v>238</v>
      </c>
      <c r="R251" s="459" t="s">
        <v>239</v>
      </c>
      <c r="W251" s="462" t="s">
        <v>240</v>
      </c>
      <c r="X251" s="462" t="s">
        <v>241</v>
      </c>
      <c r="Y251" s="462" t="s">
        <v>242</v>
      </c>
      <c r="Z251" s="462" t="s">
        <v>243</v>
      </c>
    </row>
    <row r="252" spans="1:26" ht="15" customHeight="1" x14ac:dyDescent="0.3">
      <c r="A252" s="463">
        <v>0</v>
      </c>
      <c r="B252" s="463">
        <v>2018</v>
      </c>
      <c r="C252" s="479">
        <v>34742.949999999997</v>
      </c>
      <c r="D252" s="480">
        <v>3647.05</v>
      </c>
      <c r="E252" s="465">
        <v>0</v>
      </c>
      <c r="F252" s="466">
        <f>C252*E252*365</f>
        <v>0</v>
      </c>
      <c r="G252" s="466">
        <f>D252*E252*365</f>
        <v>0</v>
      </c>
      <c r="H252" s="467">
        <f t="shared" ref="H252:K267" si="93">($F252*H$8+$G252*H$11)/1000000*1.1015</f>
        <v>0</v>
      </c>
      <c r="I252" s="467">
        <f t="shared" si="93"/>
        <v>0</v>
      </c>
      <c r="J252" s="467">
        <f t="shared" si="93"/>
        <v>0</v>
      </c>
      <c r="K252" s="467">
        <f t="shared" si="93"/>
        <v>0</v>
      </c>
      <c r="L252" s="468">
        <f>H252*L$7</f>
        <v>0</v>
      </c>
      <c r="M252" s="468">
        <f t="shared" ref="M252:O267" si="94">I252*M$7</f>
        <v>0</v>
      </c>
      <c r="N252" s="468">
        <f t="shared" si="94"/>
        <v>0</v>
      </c>
      <c r="O252" s="468">
        <f t="shared" si="94"/>
        <v>0</v>
      </c>
      <c r="P252" s="468">
        <f>(+F252)*398.52/1000000</f>
        <v>0</v>
      </c>
      <c r="Q252" s="468">
        <f>SUM(L252:P252)</f>
        <v>0</v>
      </c>
      <c r="R252" s="469">
        <f>Q252/(1+0.07)^A252</f>
        <v>0</v>
      </c>
      <c r="W252" s="470">
        <f>L252/(1+0.07)^$A252</f>
        <v>0</v>
      </c>
      <c r="X252" s="470">
        <f t="shared" ref="X252:X283" si="95">M252/(1+0.07)^$A252</f>
        <v>0</v>
      </c>
      <c r="Y252" s="470">
        <f t="shared" ref="Y252:Y283" si="96">N252/(1+0.07)^$A252</f>
        <v>0</v>
      </c>
      <c r="Z252" s="470">
        <f t="shared" ref="Z252:Z283" si="97">O252/(1+0.07)^$A252</f>
        <v>0</v>
      </c>
    </row>
    <row r="253" spans="1:26" ht="15" customHeight="1" x14ac:dyDescent="0.3">
      <c r="A253" s="463">
        <f>1+A252</f>
        <v>1</v>
      </c>
      <c r="B253" s="463">
        <f>1+B252</f>
        <v>2019</v>
      </c>
      <c r="C253" s="479">
        <v>34914.9</v>
      </c>
      <c r="D253" s="480">
        <v>3665.1</v>
      </c>
      <c r="E253" s="465">
        <v>0</v>
      </c>
      <c r="F253" s="466">
        <f t="shared" ref="F253:F283" si="98">C253*E253*365</f>
        <v>0</v>
      </c>
      <c r="G253" s="466">
        <f t="shared" ref="G253:G283" si="99">D253*E253*365</f>
        <v>0</v>
      </c>
      <c r="H253" s="467">
        <f t="shared" si="93"/>
        <v>0</v>
      </c>
      <c r="I253" s="467">
        <f t="shared" si="93"/>
        <v>0</v>
      </c>
      <c r="J253" s="467">
        <f t="shared" si="93"/>
        <v>0</v>
      </c>
      <c r="K253" s="467">
        <f t="shared" si="93"/>
        <v>0</v>
      </c>
      <c r="L253" s="468">
        <f t="shared" ref="L253:O268" si="100">H253*L$7</f>
        <v>0</v>
      </c>
      <c r="M253" s="468">
        <f t="shared" si="94"/>
        <v>0</v>
      </c>
      <c r="N253" s="468">
        <f t="shared" si="94"/>
        <v>0</v>
      </c>
      <c r="O253" s="468">
        <f t="shared" si="94"/>
        <v>0</v>
      </c>
      <c r="P253" s="468">
        <f t="shared" ref="P253:P283" si="101">(+F253)*398.52/1000000</f>
        <v>0</v>
      </c>
      <c r="Q253" s="468">
        <f t="shared" ref="Q253:Q283" si="102">SUM(L253:P253)</f>
        <v>0</v>
      </c>
      <c r="R253" s="469">
        <f t="shared" ref="R253:R283" si="103">Q253/(1+0.07)^A253</f>
        <v>0</v>
      </c>
      <c r="W253" s="470">
        <f t="shared" ref="W253:W283" si="104">L253/(1+0.07)^$A253</f>
        <v>0</v>
      </c>
      <c r="X253" s="470">
        <f t="shared" si="95"/>
        <v>0</v>
      </c>
      <c r="Y253" s="470">
        <f t="shared" si="96"/>
        <v>0</v>
      </c>
      <c r="Z253" s="470">
        <f t="shared" si="97"/>
        <v>0</v>
      </c>
    </row>
    <row r="254" spans="1:26" ht="15" customHeight="1" x14ac:dyDescent="0.3">
      <c r="A254" s="463">
        <f>1+A253</f>
        <v>2</v>
      </c>
      <c r="B254" s="463">
        <f t="shared" ref="B254:B283" si="105">1+B253</f>
        <v>2020</v>
      </c>
      <c r="C254" s="479">
        <v>35095.9</v>
      </c>
      <c r="D254" s="480">
        <v>3684.1</v>
      </c>
      <c r="E254" s="465">
        <v>0</v>
      </c>
      <c r="F254" s="466">
        <f t="shared" si="98"/>
        <v>0</v>
      </c>
      <c r="G254" s="466">
        <f>D254*E254*365</f>
        <v>0</v>
      </c>
      <c r="H254" s="467">
        <f t="shared" si="93"/>
        <v>0</v>
      </c>
      <c r="I254" s="467">
        <f t="shared" si="93"/>
        <v>0</v>
      </c>
      <c r="J254" s="467">
        <f t="shared" si="93"/>
        <v>0</v>
      </c>
      <c r="K254" s="467">
        <f t="shared" si="93"/>
        <v>0</v>
      </c>
      <c r="L254" s="468">
        <f t="shared" si="100"/>
        <v>0</v>
      </c>
      <c r="M254" s="468">
        <f t="shared" si="94"/>
        <v>0</v>
      </c>
      <c r="N254" s="468">
        <f t="shared" si="94"/>
        <v>0</v>
      </c>
      <c r="O254" s="468">
        <f t="shared" si="94"/>
        <v>0</v>
      </c>
      <c r="P254" s="468">
        <f t="shared" si="101"/>
        <v>0</v>
      </c>
      <c r="Q254" s="468">
        <f t="shared" si="102"/>
        <v>0</v>
      </c>
      <c r="R254" s="469">
        <f t="shared" si="103"/>
        <v>0</v>
      </c>
      <c r="W254" s="470">
        <f t="shared" si="104"/>
        <v>0</v>
      </c>
      <c r="X254" s="470">
        <f t="shared" si="95"/>
        <v>0</v>
      </c>
      <c r="Y254" s="470">
        <f t="shared" si="96"/>
        <v>0</v>
      </c>
      <c r="Z254" s="470">
        <f t="shared" si="97"/>
        <v>0</v>
      </c>
    </row>
    <row r="255" spans="1:26" ht="15" customHeight="1" x14ac:dyDescent="0.3">
      <c r="A255" s="463">
        <f t="shared" ref="A255:A283" si="106">1+A254</f>
        <v>3</v>
      </c>
      <c r="B255" s="463">
        <f t="shared" si="105"/>
        <v>2021</v>
      </c>
      <c r="C255" s="479">
        <v>35267.85</v>
      </c>
      <c r="D255" s="480">
        <v>3702.15</v>
      </c>
      <c r="E255" s="465">
        <v>0</v>
      </c>
      <c r="F255" s="466">
        <f t="shared" si="98"/>
        <v>0</v>
      </c>
      <c r="G255" s="466">
        <f t="shared" si="99"/>
        <v>0</v>
      </c>
      <c r="H255" s="467">
        <f t="shared" si="93"/>
        <v>0</v>
      </c>
      <c r="I255" s="467">
        <f t="shared" si="93"/>
        <v>0</v>
      </c>
      <c r="J255" s="467">
        <f t="shared" si="93"/>
        <v>0</v>
      </c>
      <c r="K255" s="467">
        <f t="shared" si="93"/>
        <v>0</v>
      </c>
      <c r="L255" s="468">
        <f t="shared" si="100"/>
        <v>0</v>
      </c>
      <c r="M255" s="468">
        <f t="shared" si="94"/>
        <v>0</v>
      </c>
      <c r="N255" s="468">
        <f t="shared" si="94"/>
        <v>0</v>
      </c>
      <c r="O255" s="468">
        <f t="shared" si="94"/>
        <v>0</v>
      </c>
      <c r="P255" s="468">
        <f t="shared" si="101"/>
        <v>0</v>
      </c>
      <c r="Q255" s="468">
        <f t="shared" si="102"/>
        <v>0</v>
      </c>
      <c r="R255" s="469">
        <f t="shared" si="103"/>
        <v>0</v>
      </c>
      <c r="W255" s="470">
        <f t="shared" si="104"/>
        <v>0</v>
      </c>
      <c r="X255" s="470">
        <f t="shared" si="95"/>
        <v>0</v>
      </c>
      <c r="Y255" s="470">
        <f t="shared" si="96"/>
        <v>0</v>
      </c>
      <c r="Z255" s="470">
        <f t="shared" si="97"/>
        <v>0</v>
      </c>
    </row>
    <row r="256" spans="1:26" ht="15" customHeight="1" x14ac:dyDescent="0.3">
      <c r="A256" s="463">
        <f t="shared" si="106"/>
        <v>4</v>
      </c>
      <c r="B256" s="463">
        <f t="shared" si="105"/>
        <v>2022</v>
      </c>
      <c r="C256" s="479">
        <v>35448.85</v>
      </c>
      <c r="D256" s="480">
        <v>3721.15</v>
      </c>
      <c r="E256" s="465">
        <v>0</v>
      </c>
      <c r="F256" s="466">
        <f t="shared" si="98"/>
        <v>0</v>
      </c>
      <c r="G256" s="466">
        <f t="shared" si="99"/>
        <v>0</v>
      </c>
      <c r="H256" s="467">
        <f t="shared" si="93"/>
        <v>0</v>
      </c>
      <c r="I256" s="467">
        <f t="shared" si="93"/>
        <v>0</v>
      </c>
      <c r="J256" s="467">
        <f t="shared" si="93"/>
        <v>0</v>
      </c>
      <c r="K256" s="467">
        <f t="shared" si="93"/>
        <v>0</v>
      </c>
      <c r="L256" s="468">
        <f t="shared" si="100"/>
        <v>0</v>
      </c>
      <c r="M256" s="468">
        <f t="shared" si="94"/>
        <v>0</v>
      </c>
      <c r="N256" s="468">
        <f t="shared" si="94"/>
        <v>0</v>
      </c>
      <c r="O256" s="468">
        <f t="shared" si="94"/>
        <v>0</v>
      </c>
      <c r="P256" s="468">
        <f t="shared" si="101"/>
        <v>0</v>
      </c>
      <c r="Q256" s="468">
        <f t="shared" si="102"/>
        <v>0</v>
      </c>
      <c r="R256" s="469">
        <f t="shared" si="103"/>
        <v>0</v>
      </c>
      <c r="W256" s="470">
        <f t="shared" si="104"/>
        <v>0</v>
      </c>
      <c r="X256" s="470">
        <f t="shared" si="95"/>
        <v>0</v>
      </c>
      <c r="Y256" s="470">
        <f t="shared" si="96"/>
        <v>0</v>
      </c>
      <c r="Z256" s="470">
        <f t="shared" si="97"/>
        <v>0</v>
      </c>
    </row>
    <row r="257" spans="1:26" ht="15" customHeight="1" x14ac:dyDescent="0.3">
      <c r="A257" s="463">
        <f t="shared" si="106"/>
        <v>5</v>
      </c>
      <c r="B257" s="463">
        <f t="shared" si="105"/>
        <v>2023</v>
      </c>
      <c r="C257" s="479">
        <v>35620.800000000003</v>
      </c>
      <c r="D257" s="480">
        <v>3739.2</v>
      </c>
      <c r="E257" s="465">
        <v>0</v>
      </c>
      <c r="F257" s="466">
        <f t="shared" si="98"/>
        <v>0</v>
      </c>
      <c r="G257" s="466">
        <f t="shared" si="99"/>
        <v>0</v>
      </c>
      <c r="H257" s="467">
        <f t="shared" si="93"/>
        <v>0</v>
      </c>
      <c r="I257" s="467">
        <f t="shared" si="93"/>
        <v>0</v>
      </c>
      <c r="J257" s="467">
        <f t="shared" si="93"/>
        <v>0</v>
      </c>
      <c r="K257" s="467">
        <f t="shared" si="93"/>
        <v>0</v>
      </c>
      <c r="L257" s="468">
        <f t="shared" si="100"/>
        <v>0</v>
      </c>
      <c r="M257" s="468">
        <f t="shared" si="94"/>
        <v>0</v>
      </c>
      <c r="N257" s="468">
        <f t="shared" si="94"/>
        <v>0</v>
      </c>
      <c r="O257" s="468">
        <f t="shared" si="94"/>
        <v>0</v>
      </c>
      <c r="P257" s="468">
        <f t="shared" si="101"/>
        <v>0</v>
      </c>
      <c r="Q257" s="468">
        <f t="shared" si="102"/>
        <v>0</v>
      </c>
      <c r="R257" s="469">
        <f t="shared" si="103"/>
        <v>0</v>
      </c>
      <c r="W257" s="470">
        <f t="shared" si="104"/>
        <v>0</v>
      </c>
      <c r="X257" s="470">
        <f t="shared" si="95"/>
        <v>0</v>
      </c>
      <c r="Y257" s="470">
        <f t="shared" si="96"/>
        <v>0</v>
      </c>
      <c r="Z257" s="470">
        <f t="shared" si="97"/>
        <v>0</v>
      </c>
    </row>
    <row r="258" spans="1:26" ht="15" customHeight="1" x14ac:dyDescent="0.3">
      <c r="A258" s="463">
        <f t="shared" si="106"/>
        <v>6</v>
      </c>
      <c r="B258" s="463">
        <f t="shared" si="105"/>
        <v>2024</v>
      </c>
      <c r="C258" s="479">
        <v>35792.75</v>
      </c>
      <c r="D258" s="480">
        <v>3757.25</v>
      </c>
      <c r="E258" s="465">
        <v>0</v>
      </c>
      <c r="F258" s="466">
        <f t="shared" si="98"/>
        <v>0</v>
      </c>
      <c r="G258" s="466">
        <f t="shared" si="99"/>
        <v>0</v>
      </c>
      <c r="H258" s="467">
        <f t="shared" si="93"/>
        <v>0</v>
      </c>
      <c r="I258" s="467">
        <f t="shared" si="93"/>
        <v>0</v>
      </c>
      <c r="J258" s="467">
        <f t="shared" si="93"/>
        <v>0</v>
      </c>
      <c r="K258" s="467">
        <f t="shared" si="93"/>
        <v>0</v>
      </c>
      <c r="L258" s="468">
        <f t="shared" si="100"/>
        <v>0</v>
      </c>
      <c r="M258" s="468">
        <f t="shared" si="94"/>
        <v>0</v>
      </c>
      <c r="N258" s="468">
        <f t="shared" si="94"/>
        <v>0</v>
      </c>
      <c r="O258" s="468">
        <f t="shared" si="94"/>
        <v>0</v>
      </c>
      <c r="P258" s="468">
        <f t="shared" si="101"/>
        <v>0</v>
      </c>
      <c r="Q258" s="468">
        <f t="shared" si="102"/>
        <v>0</v>
      </c>
      <c r="R258" s="469">
        <f t="shared" si="103"/>
        <v>0</v>
      </c>
      <c r="W258" s="470">
        <f t="shared" si="104"/>
        <v>0</v>
      </c>
      <c r="X258" s="470">
        <f t="shared" si="95"/>
        <v>0</v>
      </c>
      <c r="Y258" s="470">
        <f t="shared" si="96"/>
        <v>0</v>
      </c>
      <c r="Z258" s="470">
        <f t="shared" si="97"/>
        <v>0</v>
      </c>
    </row>
    <row r="259" spans="1:26" ht="15" customHeight="1" x14ac:dyDescent="0.3">
      <c r="A259" s="463">
        <f t="shared" si="106"/>
        <v>7</v>
      </c>
      <c r="B259" s="463">
        <f t="shared" si="105"/>
        <v>2025</v>
      </c>
      <c r="C259" s="479">
        <v>35973.75</v>
      </c>
      <c r="D259" s="480">
        <v>3776.25</v>
      </c>
      <c r="E259" s="471">
        <v>0.7</v>
      </c>
      <c r="F259" s="466">
        <f t="shared" si="98"/>
        <v>9191293.125</v>
      </c>
      <c r="G259" s="466">
        <f t="shared" si="99"/>
        <v>964831.875</v>
      </c>
      <c r="H259" s="467">
        <f t="shared" si="93"/>
        <v>0.57355569249161908</v>
      </c>
      <c r="I259" s="467">
        <f t="shared" si="93"/>
        <v>5.7952295523127058</v>
      </c>
      <c r="J259" s="467">
        <f t="shared" si="93"/>
        <v>0.23486303586712076</v>
      </c>
      <c r="K259" s="467">
        <f t="shared" si="93"/>
        <v>3.477635484212057E-2</v>
      </c>
      <c r="L259" s="468">
        <f t="shared" si="100"/>
        <v>1204.4669542324</v>
      </c>
      <c r="M259" s="468">
        <f t="shared" si="94"/>
        <v>49838.974149889269</v>
      </c>
      <c r="N259" s="468">
        <f t="shared" si="94"/>
        <v>90257.864683734515</v>
      </c>
      <c r="O259" s="468">
        <f t="shared" si="94"/>
        <v>1742.2953775902406</v>
      </c>
      <c r="P259" s="468">
        <f t="shared" si="101"/>
        <v>3662.9141361749998</v>
      </c>
      <c r="Q259" s="468">
        <f t="shared" si="102"/>
        <v>146706.5153016214</v>
      </c>
      <c r="R259" s="469">
        <f>Q259/(1+0.07)^(A259)</f>
        <v>91361.444536872543</v>
      </c>
      <c r="W259" s="470">
        <f t="shared" si="104"/>
        <v>750.08148485674667</v>
      </c>
      <c r="X259" s="470">
        <f t="shared" si="95"/>
        <v>31037.208287636349</v>
      </c>
      <c r="Y259" s="470">
        <f t="shared" si="96"/>
        <v>56208.061934850019</v>
      </c>
      <c r="Z259" s="470">
        <f t="shared" si="97"/>
        <v>1085.0139966810386</v>
      </c>
    </row>
    <row r="260" spans="1:26" ht="15" customHeight="1" x14ac:dyDescent="0.3">
      <c r="A260" s="463">
        <f t="shared" si="106"/>
        <v>8</v>
      </c>
      <c r="B260" s="463">
        <f t="shared" si="105"/>
        <v>2026</v>
      </c>
      <c r="C260" s="479">
        <v>36145.699999999997</v>
      </c>
      <c r="D260" s="480">
        <v>3794.3</v>
      </c>
      <c r="E260" s="471">
        <v>0.7</v>
      </c>
      <c r="F260" s="466">
        <f t="shared" si="98"/>
        <v>9235226.3499999996</v>
      </c>
      <c r="G260" s="466">
        <f t="shared" si="99"/>
        <v>969443.64999999991</v>
      </c>
      <c r="H260" s="467">
        <f t="shared" si="93"/>
        <v>0.57629721655635902</v>
      </c>
      <c r="I260" s="467">
        <f t="shared" si="93"/>
        <v>5.8229300206130681</v>
      </c>
      <c r="J260" s="467">
        <f t="shared" si="93"/>
        <v>0.23598565163604537</v>
      </c>
      <c r="K260" s="467">
        <f t="shared" si="93"/>
        <v>3.4942581443881647E-2</v>
      </c>
      <c r="L260" s="468">
        <f t="shared" si="100"/>
        <v>1210.2241547683539</v>
      </c>
      <c r="M260" s="468">
        <f t="shared" si="94"/>
        <v>50077.198177272388</v>
      </c>
      <c r="N260" s="468">
        <f t="shared" si="94"/>
        <v>90689.285923732241</v>
      </c>
      <c r="O260" s="468">
        <f t="shared" si="94"/>
        <v>1750.6233303384706</v>
      </c>
      <c r="P260" s="468">
        <f t="shared" si="101"/>
        <v>3680.4224050019998</v>
      </c>
      <c r="Q260" s="468">
        <f t="shared" si="102"/>
        <v>147407.75399111345</v>
      </c>
      <c r="R260" s="469">
        <f t="shared" si="103"/>
        <v>85792.654906311407</v>
      </c>
      <c r="W260" s="470">
        <f t="shared" si="104"/>
        <v>704.36147663971008</v>
      </c>
      <c r="X260" s="470">
        <f t="shared" si="95"/>
        <v>29145.385270280276</v>
      </c>
      <c r="Y260" s="470">
        <f t="shared" si="96"/>
        <v>52781.990094114146</v>
      </c>
      <c r="Z260" s="470">
        <f t="shared" si="97"/>
        <v>1018.8787169209588</v>
      </c>
    </row>
    <row r="261" spans="1:26" ht="15" customHeight="1" x14ac:dyDescent="0.3">
      <c r="A261" s="463">
        <f t="shared" si="106"/>
        <v>9</v>
      </c>
      <c r="B261" s="463">
        <f t="shared" si="105"/>
        <v>2027</v>
      </c>
      <c r="C261" s="479">
        <v>36317.65</v>
      </c>
      <c r="D261" s="480">
        <v>3812.35</v>
      </c>
      <c r="E261" s="471">
        <v>0.7</v>
      </c>
      <c r="F261" s="466">
        <f t="shared" si="98"/>
        <v>9279159.5749999993</v>
      </c>
      <c r="G261" s="466">
        <f t="shared" si="99"/>
        <v>974055.42500000005</v>
      </c>
      <c r="H261" s="467">
        <f t="shared" si="93"/>
        <v>0.57903874062109872</v>
      </c>
      <c r="I261" s="467">
        <f t="shared" si="93"/>
        <v>5.8506304889134313</v>
      </c>
      <c r="J261" s="467">
        <f t="shared" si="93"/>
        <v>0.23710826740496999</v>
      </c>
      <c r="K261" s="467">
        <f t="shared" si="93"/>
        <v>3.5108808045642724E-2</v>
      </c>
      <c r="L261" s="468">
        <f t="shared" si="100"/>
        <v>1215.9813553043073</v>
      </c>
      <c r="M261" s="468">
        <f t="shared" si="94"/>
        <v>50315.422204655508</v>
      </c>
      <c r="N261" s="468">
        <f t="shared" si="94"/>
        <v>91120.707163729967</v>
      </c>
      <c r="O261" s="468">
        <f t="shared" si="94"/>
        <v>1758.9512830867004</v>
      </c>
      <c r="P261" s="468">
        <f t="shared" si="101"/>
        <v>3697.9306738289997</v>
      </c>
      <c r="Q261" s="468">
        <f t="shared" si="102"/>
        <v>148108.99268060547</v>
      </c>
      <c r="R261" s="469">
        <f t="shared" si="103"/>
        <v>80561.478699129919</v>
      </c>
      <c r="W261" s="470">
        <f t="shared" si="104"/>
        <v>661.41328950321645</v>
      </c>
      <c r="X261" s="470">
        <f t="shared" si="95"/>
        <v>27368.255909479813</v>
      </c>
      <c r="Y261" s="470">
        <f t="shared" si="96"/>
        <v>49563.627274481827</v>
      </c>
      <c r="Z261" s="470">
        <f t="shared" si="97"/>
        <v>956.7529544325381</v>
      </c>
    </row>
    <row r="262" spans="1:26" ht="15" customHeight="1" x14ac:dyDescent="0.3">
      <c r="A262" s="463">
        <f t="shared" si="106"/>
        <v>10</v>
      </c>
      <c r="B262" s="463">
        <f t="shared" si="105"/>
        <v>2028</v>
      </c>
      <c r="C262" s="479">
        <v>36498.65</v>
      </c>
      <c r="D262" s="480">
        <v>3831.35</v>
      </c>
      <c r="E262" s="471">
        <v>0.7</v>
      </c>
      <c r="F262" s="466">
        <f t="shared" si="98"/>
        <v>9325405.0749999993</v>
      </c>
      <c r="G262" s="466">
        <f t="shared" si="99"/>
        <v>978909.92499999993</v>
      </c>
      <c r="H262" s="467">
        <f t="shared" si="93"/>
        <v>0.5819245554260879</v>
      </c>
      <c r="I262" s="467">
        <f t="shared" si="93"/>
        <v>5.8797888765980231</v>
      </c>
      <c r="J262" s="467">
        <f t="shared" si="93"/>
        <v>0.23828996821436429</v>
      </c>
      <c r="K262" s="467">
        <f t="shared" si="93"/>
        <v>3.5283783415917536E-2</v>
      </c>
      <c r="L262" s="468">
        <f t="shared" si="100"/>
        <v>1222.0415663947847</v>
      </c>
      <c r="M262" s="468">
        <f t="shared" si="94"/>
        <v>50566.184338742998</v>
      </c>
      <c r="N262" s="468">
        <f t="shared" si="94"/>
        <v>91574.834784780192</v>
      </c>
      <c r="O262" s="468">
        <f t="shared" si="94"/>
        <v>1767.7175491374685</v>
      </c>
      <c r="P262" s="468">
        <f t="shared" si="101"/>
        <v>3716.3604304889996</v>
      </c>
      <c r="Q262" s="468">
        <f t="shared" si="102"/>
        <v>148847.13866954445</v>
      </c>
      <c r="R262" s="469">
        <f t="shared" si="103"/>
        <v>75666.337578941107</v>
      </c>
      <c r="W262" s="470">
        <f t="shared" si="104"/>
        <v>621.22396523599059</v>
      </c>
      <c r="X262" s="470">
        <f t="shared" si="95"/>
        <v>25705.284014553657</v>
      </c>
      <c r="Y262" s="470">
        <f t="shared" si="96"/>
        <v>46552.002440196746</v>
      </c>
      <c r="Z262" s="470">
        <f t="shared" si="97"/>
        <v>898.6179647981503</v>
      </c>
    </row>
    <row r="263" spans="1:26" ht="15" customHeight="1" x14ac:dyDescent="0.3">
      <c r="A263" s="463">
        <f t="shared" si="106"/>
        <v>11</v>
      </c>
      <c r="B263" s="463">
        <f t="shared" si="105"/>
        <v>2029</v>
      </c>
      <c r="C263" s="479">
        <v>36670.6</v>
      </c>
      <c r="D263" s="480">
        <v>3849.4</v>
      </c>
      <c r="E263" s="471">
        <v>0.7</v>
      </c>
      <c r="F263" s="466">
        <f t="shared" si="98"/>
        <v>9369338.2999999989</v>
      </c>
      <c r="G263" s="466">
        <f t="shared" si="99"/>
        <v>983521.7</v>
      </c>
      <c r="H263" s="467">
        <f t="shared" si="93"/>
        <v>0.58466607949082783</v>
      </c>
      <c r="I263" s="467">
        <f t="shared" si="93"/>
        <v>5.9074893448983863</v>
      </c>
      <c r="J263" s="467">
        <f t="shared" si="93"/>
        <v>0.23941258398328888</v>
      </c>
      <c r="K263" s="467">
        <f t="shared" si="93"/>
        <v>3.545001001767862E-2</v>
      </c>
      <c r="L263" s="468">
        <f t="shared" si="100"/>
        <v>1227.7987669307383</v>
      </c>
      <c r="M263" s="468">
        <f t="shared" si="94"/>
        <v>50804.408366126125</v>
      </c>
      <c r="N263" s="468">
        <f t="shared" si="94"/>
        <v>92006.256024777918</v>
      </c>
      <c r="O263" s="468">
        <f t="shared" si="94"/>
        <v>1776.0455018856987</v>
      </c>
      <c r="P263" s="468">
        <f t="shared" si="101"/>
        <v>3733.8686993159995</v>
      </c>
      <c r="Q263" s="468">
        <f t="shared" si="102"/>
        <v>149548.37735903647</v>
      </c>
      <c r="R263" s="469">
        <f t="shared" si="103"/>
        <v>71049.356794730687</v>
      </c>
      <c r="W263" s="470">
        <f t="shared" si="104"/>
        <v>583.31834958235527</v>
      </c>
      <c r="X263" s="470">
        <f t="shared" si="95"/>
        <v>24136.808439479762</v>
      </c>
      <c r="Y263" s="470">
        <f t="shared" si="96"/>
        <v>43711.509459963985</v>
      </c>
      <c r="Z263" s="470">
        <f t="shared" si="97"/>
        <v>843.78642400247145</v>
      </c>
    </row>
    <row r="264" spans="1:26" ht="15" customHeight="1" x14ac:dyDescent="0.3">
      <c r="A264" s="463">
        <f t="shared" si="106"/>
        <v>12</v>
      </c>
      <c r="B264" s="463">
        <f t="shared" si="105"/>
        <v>2030</v>
      </c>
      <c r="C264" s="479">
        <v>36851.599999999999</v>
      </c>
      <c r="D264" s="480">
        <v>3868.4</v>
      </c>
      <c r="E264" s="471">
        <v>0.7</v>
      </c>
      <c r="F264" s="466">
        <f t="shared" si="98"/>
        <v>9415583.7999999989</v>
      </c>
      <c r="G264" s="466">
        <f t="shared" si="99"/>
        <v>988376.20000000007</v>
      </c>
      <c r="H264" s="467">
        <f t="shared" si="93"/>
        <v>0.587551894295817</v>
      </c>
      <c r="I264" s="467">
        <f t="shared" si="93"/>
        <v>5.9366477325829781</v>
      </c>
      <c r="J264" s="467">
        <f t="shared" si="93"/>
        <v>0.24059428479268324</v>
      </c>
      <c r="K264" s="467">
        <f t="shared" si="93"/>
        <v>3.5624985387953445E-2</v>
      </c>
      <c r="L264" s="468">
        <f t="shared" si="100"/>
        <v>1233.8589780212158</v>
      </c>
      <c r="M264" s="468">
        <f t="shared" si="94"/>
        <v>51055.170500213608</v>
      </c>
      <c r="N264" s="468">
        <f t="shared" si="94"/>
        <v>92460.383645828173</v>
      </c>
      <c r="O264" s="468">
        <f t="shared" si="94"/>
        <v>1784.8117679364675</v>
      </c>
      <c r="P264" s="468">
        <f t="shared" si="101"/>
        <v>3752.2984559759993</v>
      </c>
      <c r="Q264" s="468">
        <f t="shared" si="102"/>
        <v>150286.52334797548</v>
      </c>
      <c r="R264" s="469">
        <f t="shared" si="103"/>
        <v>66729.013679213109</v>
      </c>
      <c r="W264" s="470">
        <f t="shared" si="104"/>
        <v>547.8481422579714</v>
      </c>
      <c r="X264" s="470">
        <f t="shared" si="95"/>
        <v>22669.106283169636</v>
      </c>
      <c r="Y264" s="470">
        <f t="shared" si="96"/>
        <v>41053.516094734208</v>
      </c>
      <c r="Z264" s="470">
        <f t="shared" si="97"/>
        <v>792.4777699573915</v>
      </c>
    </row>
    <row r="265" spans="1:26" ht="15" customHeight="1" x14ac:dyDescent="0.3">
      <c r="A265" s="463">
        <f t="shared" si="106"/>
        <v>13</v>
      </c>
      <c r="B265" s="463">
        <f t="shared" si="105"/>
        <v>2031</v>
      </c>
      <c r="C265" s="479">
        <v>37023.550000000003</v>
      </c>
      <c r="D265" s="480">
        <v>3886.45</v>
      </c>
      <c r="E265" s="471">
        <v>0.7</v>
      </c>
      <c r="F265" s="466">
        <f t="shared" si="98"/>
        <v>9459517.0250000004</v>
      </c>
      <c r="G265" s="466">
        <f t="shared" si="99"/>
        <v>992987.97499999998</v>
      </c>
      <c r="H265" s="467">
        <f t="shared" si="93"/>
        <v>0.59029341836055682</v>
      </c>
      <c r="I265" s="467">
        <f t="shared" si="93"/>
        <v>5.9643482008833413</v>
      </c>
      <c r="J265" s="467">
        <f t="shared" si="93"/>
        <v>0.24171690056160783</v>
      </c>
      <c r="K265" s="467">
        <f t="shared" si="93"/>
        <v>3.5791211989714522E-2</v>
      </c>
      <c r="L265" s="468">
        <f t="shared" si="100"/>
        <v>1239.6161785571694</v>
      </c>
      <c r="M265" s="468">
        <f t="shared" si="94"/>
        <v>51293.394527596734</v>
      </c>
      <c r="N265" s="468">
        <f t="shared" si="94"/>
        <v>92891.804885825884</v>
      </c>
      <c r="O265" s="468">
        <f t="shared" si="94"/>
        <v>1793.1397206846975</v>
      </c>
      <c r="P265" s="468">
        <f t="shared" si="101"/>
        <v>3769.8067248030002</v>
      </c>
      <c r="Q265" s="468">
        <f t="shared" si="102"/>
        <v>150987.76203746747</v>
      </c>
      <c r="R265" s="469">
        <f t="shared" si="103"/>
        <v>62654.553311803589</v>
      </c>
      <c r="W265" s="470">
        <f t="shared" si="104"/>
        <v>514.39664312867467</v>
      </c>
      <c r="X265" s="470">
        <f t="shared" si="95"/>
        <v>21284.935140473117</v>
      </c>
      <c r="Y265" s="470">
        <f t="shared" si="96"/>
        <v>38546.796527816499</v>
      </c>
      <c r="Z265" s="470">
        <f t="shared" si="97"/>
        <v>744.08923418093207</v>
      </c>
    </row>
    <row r="266" spans="1:26" ht="15" customHeight="1" x14ac:dyDescent="0.3">
      <c r="A266" s="463">
        <f t="shared" si="106"/>
        <v>14</v>
      </c>
      <c r="B266" s="463">
        <f t="shared" si="105"/>
        <v>2032</v>
      </c>
      <c r="C266" s="479">
        <v>37195.5</v>
      </c>
      <c r="D266" s="480">
        <v>3904.5</v>
      </c>
      <c r="E266" s="471">
        <v>0.7</v>
      </c>
      <c r="F266" s="466">
        <f t="shared" si="98"/>
        <v>9503450.25</v>
      </c>
      <c r="G266" s="466">
        <f t="shared" si="99"/>
        <v>997599.74999999988</v>
      </c>
      <c r="H266" s="467">
        <f t="shared" si="93"/>
        <v>0.59303494242529675</v>
      </c>
      <c r="I266" s="467">
        <f t="shared" si="93"/>
        <v>5.9920486691837036</v>
      </c>
      <c r="J266" s="467">
        <f t="shared" si="93"/>
        <v>0.24283951633053244</v>
      </c>
      <c r="K266" s="467">
        <f t="shared" si="93"/>
        <v>3.5957438591475599E-2</v>
      </c>
      <c r="L266" s="468">
        <f t="shared" si="100"/>
        <v>1245.3733790931233</v>
      </c>
      <c r="M266" s="468">
        <f t="shared" si="94"/>
        <v>51531.618554979854</v>
      </c>
      <c r="N266" s="468">
        <f t="shared" si="94"/>
        <v>93323.22612582361</v>
      </c>
      <c r="O266" s="468">
        <f t="shared" si="94"/>
        <v>1801.4676734329275</v>
      </c>
      <c r="P266" s="468">
        <f t="shared" si="101"/>
        <v>3787.3149936299997</v>
      </c>
      <c r="Q266" s="468">
        <f t="shared" si="102"/>
        <v>151689.00072695949</v>
      </c>
      <c r="R266" s="469">
        <f t="shared" si="103"/>
        <v>58827.609754604418</v>
      </c>
      <c r="W266" s="470">
        <f t="shared" si="104"/>
        <v>482.97726791631811</v>
      </c>
      <c r="X266" s="470">
        <f t="shared" si="95"/>
        <v>19984.850133149474</v>
      </c>
      <c r="Y266" s="470">
        <f t="shared" si="96"/>
        <v>36192.356078952849</v>
      </c>
      <c r="Z266" s="470">
        <f t="shared" si="97"/>
        <v>698.64022289265722</v>
      </c>
    </row>
    <row r="267" spans="1:26" ht="15" customHeight="1" x14ac:dyDescent="0.3">
      <c r="A267" s="463">
        <f t="shared" si="106"/>
        <v>15</v>
      </c>
      <c r="B267" s="463">
        <f t="shared" si="105"/>
        <v>2033</v>
      </c>
      <c r="C267" s="479">
        <v>37376.5</v>
      </c>
      <c r="D267" s="480">
        <v>3923.5</v>
      </c>
      <c r="E267" s="471">
        <v>0.7</v>
      </c>
      <c r="F267" s="466">
        <f t="shared" si="98"/>
        <v>9549695.75</v>
      </c>
      <c r="G267" s="466">
        <f t="shared" si="99"/>
        <v>1002454.2499999999</v>
      </c>
      <c r="H267" s="467">
        <f t="shared" si="93"/>
        <v>0.59592075723028581</v>
      </c>
      <c r="I267" s="467">
        <f t="shared" si="93"/>
        <v>6.0212070568682963</v>
      </c>
      <c r="J267" s="467">
        <f t="shared" si="93"/>
        <v>0.24402121713992675</v>
      </c>
      <c r="K267" s="467">
        <f t="shared" si="93"/>
        <v>3.6132413961750424E-2</v>
      </c>
      <c r="L267" s="468">
        <f t="shared" si="100"/>
        <v>1251.4335901836002</v>
      </c>
      <c r="M267" s="468">
        <f t="shared" si="94"/>
        <v>51782.380689067351</v>
      </c>
      <c r="N267" s="468">
        <f t="shared" si="94"/>
        <v>93777.35374687385</v>
      </c>
      <c r="O267" s="468">
        <f t="shared" si="94"/>
        <v>1810.2339394836963</v>
      </c>
      <c r="P267" s="468">
        <f t="shared" si="101"/>
        <v>3805.74475029</v>
      </c>
      <c r="Q267" s="468">
        <f t="shared" si="102"/>
        <v>152427.1467158985</v>
      </c>
      <c r="R267" s="469">
        <f t="shared" si="103"/>
        <v>55246.612612619385</v>
      </c>
      <c r="W267" s="470">
        <f t="shared" si="104"/>
        <v>453.57712360879384</v>
      </c>
      <c r="X267" s="470">
        <f t="shared" si="95"/>
        <v>18768.317768357851</v>
      </c>
      <c r="Y267" s="470">
        <f t="shared" si="96"/>
        <v>33989.228598147951</v>
      </c>
      <c r="Z267" s="470">
        <f t="shared" si="97"/>
        <v>656.11208598737392</v>
      </c>
    </row>
    <row r="268" spans="1:26" ht="15" customHeight="1" x14ac:dyDescent="0.3">
      <c r="A268" s="463">
        <f t="shared" si="106"/>
        <v>16</v>
      </c>
      <c r="B268" s="463">
        <f t="shared" si="105"/>
        <v>2034</v>
      </c>
      <c r="C268" s="479">
        <v>37548.449999999997</v>
      </c>
      <c r="D268" s="480">
        <v>3941.55</v>
      </c>
      <c r="E268" s="471">
        <v>0.7</v>
      </c>
      <c r="F268" s="466">
        <f t="shared" si="98"/>
        <v>9593628.9749999996</v>
      </c>
      <c r="G268" s="466">
        <f t="shared" si="99"/>
        <v>1007066.025</v>
      </c>
      <c r="H268" s="467">
        <f t="shared" ref="H268:K283" si="107">($F268*H$8+$G268*H$11)/1000000*1.1015</f>
        <v>0.59866228129502586</v>
      </c>
      <c r="I268" s="467">
        <f t="shared" si="107"/>
        <v>6.0489075251686586</v>
      </c>
      <c r="J268" s="467">
        <f t="shared" si="107"/>
        <v>0.24514383290885136</v>
      </c>
      <c r="K268" s="467">
        <f t="shared" si="107"/>
        <v>3.6298640563511501E-2</v>
      </c>
      <c r="L268" s="468">
        <f t="shared" si="100"/>
        <v>1257.1907907195543</v>
      </c>
      <c r="M268" s="468">
        <f t="shared" si="100"/>
        <v>52020.604716450463</v>
      </c>
      <c r="N268" s="468">
        <f t="shared" si="100"/>
        <v>94208.774986871576</v>
      </c>
      <c r="O268" s="468">
        <f t="shared" si="100"/>
        <v>1818.5618922319263</v>
      </c>
      <c r="P268" s="468">
        <f t="shared" si="101"/>
        <v>3823.2530191169994</v>
      </c>
      <c r="Q268" s="468">
        <f t="shared" si="102"/>
        <v>153128.38540539052</v>
      </c>
      <c r="R268" s="469">
        <f t="shared" si="103"/>
        <v>51869.882041537385</v>
      </c>
      <c r="W268" s="470">
        <f t="shared" si="104"/>
        <v>425.85401684797506</v>
      </c>
      <c r="X268" s="470">
        <f t="shared" si="95"/>
        <v>17621.178615762648</v>
      </c>
      <c r="Y268" s="470">
        <f t="shared" si="96"/>
        <v>31911.771504088134</v>
      </c>
      <c r="Z268" s="470">
        <f t="shared" si="97"/>
        <v>616.00983113340158</v>
      </c>
    </row>
    <row r="269" spans="1:26" ht="15" customHeight="1" x14ac:dyDescent="0.3">
      <c r="A269" s="463">
        <f t="shared" si="106"/>
        <v>17</v>
      </c>
      <c r="B269" s="463">
        <f t="shared" si="105"/>
        <v>2035</v>
      </c>
      <c r="C269" s="479">
        <v>37729.449999999997</v>
      </c>
      <c r="D269" s="480">
        <v>3960.55</v>
      </c>
      <c r="E269" s="471">
        <v>0.7</v>
      </c>
      <c r="F269" s="466">
        <f t="shared" si="98"/>
        <v>9639874.4749999996</v>
      </c>
      <c r="G269" s="466">
        <f t="shared" si="99"/>
        <v>1011920.5249999999</v>
      </c>
      <c r="H269" s="467">
        <f t="shared" si="107"/>
        <v>0.60154809610001503</v>
      </c>
      <c r="I269" s="467">
        <f t="shared" si="107"/>
        <v>6.0780659128532504</v>
      </c>
      <c r="J269" s="467">
        <f t="shared" si="107"/>
        <v>0.24632553371824567</v>
      </c>
      <c r="K269" s="467">
        <f t="shared" si="107"/>
        <v>3.6473615933786327E-2</v>
      </c>
      <c r="L269" s="468">
        <f t="shared" ref="L269:O283" si="108">H269*L$7</f>
        <v>1263.2510018100315</v>
      </c>
      <c r="M269" s="468">
        <f t="shared" si="108"/>
        <v>52271.366850537954</v>
      </c>
      <c r="N269" s="468">
        <f t="shared" si="108"/>
        <v>94662.902607921817</v>
      </c>
      <c r="O269" s="468">
        <f t="shared" si="108"/>
        <v>1827.3281582826951</v>
      </c>
      <c r="P269" s="468">
        <f t="shared" si="101"/>
        <v>3841.6827757769993</v>
      </c>
      <c r="Q269" s="468">
        <f t="shared" si="102"/>
        <v>153866.5313943295</v>
      </c>
      <c r="R269" s="469">
        <f t="shared" si="103"/>
        <v>48710.203388986731</v>
      </c>
      <c r="W269" s="470">
        <f t="shared" si="104"/>
        <v>399.91291590118726</v>
      </c>
      <c r="X269" s="470">
        <f t="shared" si="95"/>
        <v>16547.776099434945</v>
      </c>
      <c r="Y269" s="470">
        <f t="shared" si="96"/>
        <v>29967.850692666274</v>
      </c>
      <c r="Z269" s="470">
        <f t="shared" si="97"/>
        <v>578.48529788624921</v>
      </c>
    </row>
    <row r="270" spans="1:26" ht="15" customHeight="1" x14ac:dyDescent="0.3">
      <c r="A270" s="463">
        <f t="shared" si="106"/>
        <v>18</v>
      </c>
      <c r="B270" s="463">
        <f t="shared" si="105"/>
        <v>2036</v>
      </c>
      <c r="C270" s="479">
        <v>37901.4</v>
      </c>
      <c r="D270" s="480">
        <v>3978.6</v>
      </c>
      <c r="E270" s="471">
        <v>0.7</v>
      </c>
      <c r="F270" s="466">
        <f t="shared" si="98"/>
        <v>9683807.6999999993</v>
      </c>
      <c r="G270" s="466">
        <f t="shared" si="99"/>
        <v>1016532.3</v>
      </c>
      <c r="H270" s="467">
        <f t="shared" si="107"/>
        <v>0.60428962016475496</v>
      </c>
      <c r="I270" s="467">
        <f t="shared" si="107"/>
        <v>6.1057663811536145</v>
      </c>
      <c r="J270" s="467">
        <f t="shared" si="107"/>
        <v>0.24744814948717025</v>
      </c>
      <c r="K270" s="467">
        <f t="shared" si="107"/>
        <v>3.6639842535547411E-2</v>
      </c>
      <c r="L270" s="468">
        <f t="shared" si="108"/>
        <v>1269.0082023459854</v>
      </c>
      <c r="M270" s="468">
        <f t="shared" si="108"/>
        <v>52509.590877921088</v>
      </c>
      <c r="N270" s="468">
        <f t="shared" si="108"/>
        <v>95094.323847919528</v>
      </c>
      <c r="O270" s="468">
        <f t="shared" si="108"/>
        <v>1835.6561110309253</v>
      </c>
      <c r="P270" s="468">
        <f t="shared" si="101"/>
        <v>3859.1910446039997</v>
      </c>
      <c r="Q270" s="468">
        <f t="shared" si="102"/>
        <v>154567.77008382152</v>
      </c>
      <c r="R270" s="469">
        <f t="shared" si="103"/>
        <v>45731.025794095811</v>
      </c>
      <c r="W270" s="470">
        <f t="shared" si="104"/>
        <v>375.45373659031446</v>
      </c>
      <c r="X270" s="470">
        <f t="shared" si="95"/>
        <v>15535.693201586604</v>
      </c>
      <c r="Y270" s="470">
        <f t="shared" si="96"/>
        <v>28134.979073599829</v>
      </c>
      <c r="Z270" s="470">
        <f t="shared" si="97"/>
        <v>543.10440602928418</v>
      </c>
    </row>
    <row r="271" spans="1:26" ht="15" customHeight="1" x14ac:dyDescent="0.3">
      <c r="A271" s="463">
        <f t="shared" si="106"/>
        <v>19</v>
      </c>
      <c r="B271" s="463">
        <f t="shared" si="105"/>
        <v>2037</v>
      </c>
      <c r="C271" s="479">
        <v>38073.35</v>
      </c>
      <c r="D271" s="480">
        <v>3996.65</v>
      </c>
      <c r="E271" s="471">
        <v>0.7</v>
      </c>
      <c r="F271" s="466">
        <f t="shared" si="98"/>
        <v>9727740.9249999989</v>
      </c>
      <c r="G271" s="466">
        <f t="shared" si="99"/>
        <v>1021144.075</v>
      </c>
      <c r="H271" s="467">
        <f t="shared" si="107"/>
        <v>0.60703114422949467</v>
      </c>
      <c r="I271" s="467">
        <f t="shared" si="107"/>
        <v>6.1334668494539759</v>
      </c>
      <c r="J271" s="467">
        <f t="shared" si="107"/>
        <v>0.24857076525609489</v>
      </c>
      <c r="K271" s="467">
        <f t="shared" si="107"/>
        <v>3.6806069137308488E-2</v>
      </c>
      <c r="L271" s="468">
        <f t="shared" si="108"/>
        <v>1274.7654028819388</v>
      </c>
      <c r="M271" s="468">
        <f t="shared" si="108"/>
        <v>52747.814905304193</v>
      </c>
      <c r="N271" s="468">
        <f t="shared" si="108"/>
        <v>95525.745087917268</v>
      </c>
      <c r="O271" s="468">
        <f t="shared" si="108"/>
        <v>1843.9840637791553</v>
      </c>
      <c r="P271" s="468">
        <f t="shared" si="101"/>
        <v>3876.6993134309992</v>
      </c>
      <c r="Q271" s="468">
        <f t="shared" si="102"/>
        <v>155269.00877331354</v>
      </c>
      <c r="R271" s="469">
        <f t="shared" si="103"/>
        <v>42933.17478415434</v>
      </c>
      <c r="W271" s="470">
        <f t="shared" si="104"/>
        <v>352.48325653077609</v>
      </c>
      <c r="X271" s="470">
        <f t="shared" si="95"/>
        <v>14585.210369429975</v>
      </c>
      <c r="Y271" s="470">
        <f t="shared" si="96"/>
        <v>26413.664533878393</v>
      </c>
      <c r="Z271" s="470">
        <f t="shared" si="97"/>
        <v>509.8769595741278</v>
      </c>
    </row>
    <row r="272" spans="1:26" ht="15" customHeight="1" x14ac:dyDescent="0.3">
      <c r="A272" s="463">
        <f t="shared" si="106"/>
        <v>20</v>
      </c>
      <c r="B272" s="463">
        <f t="shared" si="105"/>
        <v>2038</v>
      </c>
      <c r="C272" s="479">
        <v>38254.35</v>
      </c>
      <c r="D272" s="480">
        <v>4015.65</v>
      </c>
      <c r="E272" s="471">
        <v>0.7</v>
      </c>
      <c r="F272" s="466">
        <f t="shared" si="98"/>
        <v>9773986.4249999989</v>
      </c>
      <c r="G272" s="466">
        <f t="shared" si="99"/>
        <v>1025998.575</v>
      </c>
      <c r="H272" s="467">
        <f t="shared" si="107"/>
        <v>0.60991695903448395</v>
      </c>
      <c r="I272" s="467">
        <f t="shared" si="107"/>
        <v>6.1626252371385677</v>
      </c>
      <c r="J272" s="467">
        <f t="shared" si="107"/>
        <v>0.24975246606548918</v>
      </c>
      <c r="K272" s="467">
        <f t="shared" si="107"/>
        <v>3.6981044507583306E-2</v>
      </c>
      <c r="L272" s="468">
        <f t="shared" si="108"/>
        <v>1280.8256139724162</v>
      </c>
      <c r="M272" s="468">
        <f t="shared" si="108"/>
        <v>52998.577039391683</v>
      </c>
      <c r="N272" s="468">
        <f t="shared" si="108"/>
        <v>95979.872708967494</v>
      </c>
      <c r="O272" s="468">
        <f t="shared" si="108"/>
        <v>1852.7503298299237</v>
      </c>
      <c r="P272" s="468">
        <f t="shared" si="101"/>
        <v>3895.1290700909994</v>
      </c>
      <c r="Q272" s="468">
        <f t="shared" si="102"/>
        <v>156007.15476225252</v>
      </c>
      <c r="R272" s="469">
        <f t="shared" si="103"/>
        <v>40315.213365490185</v>
      </c>
      <c r="W272" s="470">
        <f t="shared" si="104"/>
        <v>330.98967794121296</v>
      </c>
      <c r="X272" s="470">
        <f t="shared" si="95"/>
        <v>13695.839429073596</v>
      </c>
      <c r="Y272" s="470">
        <f t="shared" si="96"/>
        <v>24803.022995653431</v>
      </c>
      <c r="Z272" s="470">
        <f t="shared" si="97"/>
        <v>478.78589269771521</v>
      </c>
    </row>
    <row r="273" spans="1:28" ht="15" customHeight="1" x14ac:dyDescent="0.3">
      <c r="A273" s="463">
        <f t="shared" si="106"/>
        <v>21</v>
      </c>
      <c r="B273" s="463">
        <f t="shared" si="105"/>
        <v>2039</v>
      </c>
      <c r="C273" s="479">
        <v>38426.300000000003</v>
      </c>
      <c r="D273" s="480">
        <v>4033.7000000000003</v>
      </c>
      <c r="E273" s="471">
        <v>0.7</v>
      </c>
      <c r="F273" s="466">
        <f t="shared" si="98"/>
        <v>9817919.6500000004</v>
      </c>
      <c r="G273" s="466">
        <f t="shared" si="99"/>
        <v>1030610.3500000001</v>
      </c>
      <c r="H273" s="467">
        <f t="shared" si="107"/>
        <v>0.61265848309922388</v>
      </c>
      <c r="I273" s="467">
        <f t="shared" si="107"/>
        <v>6.1903257054389309</v>
      </c>
      <c r="J273" s="467">
        <f t="shared" si="107"/>
        <v>0.25087508183441382</v>
      </c>
      <c r="K273" s="467">
        <f t="shared" si="107"/>
        <v>3.7147271109344397E-2</v>
      </c>
      <c r="L273" s="468">
        <f t="shared" si="108"/>
        <v>1286.5828145083701</v>
      </c>
      <c r="M273" s="468">
        <f t="shared" si="108"/>
        <v>53236.801066774802</v>
      </c>
      <c r="N273" s="468">
        <f t="shared" si="108"/>
        <v>96411.293948965234</v>
      </c>
      <c r="O273" s="468">
        <f t="shared" si="108"/>
        <v>1861.0782825781544</v>
      </c>
      <c r="P273" s="468">
        <f t="shared" si="101"/>
        <v>3912.6373389179998</v>
      </c>
      <c r="Q273" s="468">
        <f t="shared" si="102"/>
        <v>156708.39345174455</v>
      </c>
      <c r="R273" s="469">
        <f t="shared" si="103"/>
        <v>37847.127820900198</v>
      </c>
      <c r="W273" s="470">
        <f t="shared" si="104"/>
        <v>310.72658688104076</v>
      </c>
      <c r="X273" s="470">
        <f t="shared" si="95"/>
        <v>12857.384153903033</v>
      </c>
      <c r="Y273" s="470">
        <f t="shared" si="96"/>
        <v>23284.589198398473</v>
      </c>
      <c r="Z273" s="470">
        <f t="shared" si="97"/>
        <v>449.47476069382611</v>
      </c>
    </row>
    <row r="274" spans="1:28" ht="15" customHeight="1" x14ac:dyDescent="0.3">
      <c r="A274" s="463">
        <f t="shared" si="106"/>
        <v>22</v>
      </c>
      <c r="B274" s="463">
        <f t="shared" si="105"/>
        <v>2040</v>
      </c>
      <c r="C274" s="479">
        <v>38607.300000000003</v>
      </c>
      <c r="D274" s="480">
        <v>4052.7000000000003</v>
      </c>
      <c r="E274" s="471">
        <v>0.7</v>
      </c>
      <c r="F274" s="466">
        <f t="shared" si="98"/>
        <v>9864165.1500000004</v>
      </c>
      <c r="G274" s="466">
        <f t="shared" si="99"/>
        <v>1035464.85</v>
      </c>
      <c r="H274" s="467">
        <f t="shared" si="107"/>
        <v>0.61554429790421306</v>
      </c>
      <c r="I274" s="467">
        <f t="shared" si="107"/>
        <v>6.2194840931235236</v>
      </c>
      <c r="J274" s="467">
        <f t="shared" si="107"/>
        <v>0.2520567826438081</v>
      </c>
      <c r="K274" s="467">
        <f t="shared" si="107"/>
        <v>3.7322246479619216E-2</v>
      </c>
      <c r="L274" s="468">
        <f t="shared" si="108"/>
        <v>1292.6430255988473</v>
      </c>
      <c r="M274" s="468">
        <f t="shared" si="108"/>
        <v>53487.5632008623</v>
      </c>
      <c r="N274" s="468">
        <f t="shared" si="108"/>
        <v>96865.421570015445</v>
      </c>
      <c r="O274" s="468">
        <f t="shared" si="108"/>
        <v>1869.8445486289227</v>
      </c>
      <c r="P274" s="468">
        <f t="shared" si="101"/>
        <v>3931.0670955780001</v>
      </c>
      <c r="Q274" s="468">
        <f t="shared" si="102"/>
        <v>157446.53944068353</v>
      </c>
      <c r="R274" s="469">
        <f t="shared" si="103"/>
        <v>35537.756763696292</v>
      </c>
      <c r="W274" s="470">
        <f t="shared" si="104"/>
        <v>291.76654875496223</v>
      </c>
      <c r="X274" s="470">
        <f t="shared" si="95"/>
        <v>12072.847187798598</v>
      </c>
      <c r="Y274" s="470">
        <f t="shared" si="96"/>
        <v>21863.800899002879</v>
      </c>
      <c r="Z274" s="470">
        <f t="shared" si="97"/>
        <v>422.04853146443759</v>
      </c>
    </row>
    <row r="275" spans="1:28" ht="15" customHeight="1" x14ac:dyDescent="0.3">
      <c r="A275" s="463">
        <f t="shared" si="106"/>
        <v>23</v>
      </c>
      <c r="B275" s="463">
        <f t="shared" si="105"/>
        <v>2041</v>
      </c>
      <c r="C275" s="479">
        <v>38779.25</v>
      </c>
      <c r="D275" s="480">
        <v>4070.75</v>
      </c>
      <c r="E275" s="471">
        <v>0.7</v>
      </c>
      <c r="F275" s="466">
        <f t="shared" si="98"/>
        <v>9908098.375</v>
      </c>
      <c r="G275" s="466">
        <f t="shared" si="99"/>
        <v>1040076.6249999999</v>
      </c>
      <c r="H275" s="467">
        <f t="shared" si="107"/>
        <v>0.61828582196895288</v>
      </c>
      <c r="I275" s="467">
        <f t="shared" si="107"/>
        <v>6.2471845614238859</v>
      </c>
      <c r="J275" s="467">
        <f t="shared" si="107"/>
        <v>0.25317939841273268</v>
      </c>
      <c r="K275" s="467">
        <f t="shared" si="107"/>
        <v>3.7488473081380286E-2</v>
      </c>
      <c r="L275" s="468">
        <f t="shared" si="108"/>
        <v>1298.400226134801</v>
      </c>
      <c r="M275" s="468">
        <f t="shared" si="108"/>
        <v>53725.787228245419</v>
      </c>
      <c r="N275" s="468">
        <f t="shared" si="108"/>
        <v>97296.842810013171</v>
      </c>
      <c r="O275" s="468">
        <f t="shared" si="108"/>
        <v>1878.1725013771522</v>
      </c>
      <c r="P275" s="468">
        <f t="shared" si="101"/>
        <v>3948.5753644049996</v>
      </c>
      <c r="Q275" s="468">
        <f t="shared" si="102"/>
        <v>158147.77813017555</v>
      </c>
      <c r="R275" s="469">
        <f t="shared" si="103"/>
        <v>33360.780904530628</v>
      </c>
      <c r="W275" s="470">
        <f t="shared" si="104"/>
        <v>273.89348103785488</v>
      </c>
      <c r="X275" s="470">
        <f t="shared" si="95"/>
        <v>11333.287371066373</v>
      </c>
      <c r="Y275" s="470">
        <f t="shared" si="96"/>
        <v>20524.465750101288</v>
      </c>
      <c r="Z275" s="470">
        <f t="shared" si="97"/>
        <v>396.19463555019138</v>
      </c>
    </row>
    <row r="276" spans="1:28" ht="15" customHeight="1" x14ac:dyDescent="0.3">
      <c r="A276" s="463">
        <f t="shared" si="106"/>
        <v>24</v>
      </c>
      <c r="B276" s="463">
        <f t="shared" si="105"/>
        <v>2042</v>
      </c>
      <c r="C276" s="479">
        <v>38951.199999999997</v>
      </c>
      <c r="D276" s="480">
        <v>4088.8</v>
      </c>
      <c r="E276" s="471">
        <v>0.7</v>
      </c>
      <c r="F276" s="466">
        <f t="shared" si="98"/>
        <v>9952031.5999999996</v>
      </c>
      <c r="G276" s="466">
        <f t="shared" si="99"/>
        <v>1044688.3999999999</v>
      </c>
      <c r="H276" s="467">
        <f t="shared" si="107"/>
        <v>0.62102734603369258</v>
      </c>
      <c r="I276" s="467">
        <f t="shared" si="107"/>
        <v>6.2748850297242482</v>
      </c>
      <c r="J276" s="467">
        <f t="shared" si="107"/>
        <v>0.25430201418165732</v>
      </c>
      <c r="K276" s="467">
        <f t="shared" si="107"/>
        <v>3.7654699683141363E-2</v>
      </c>
      <c r="L276" s="468">
        <f t="shared" si="108"/>
        <v>1304.1574266707544</v>
      </c>
      <c r="M276" s="468">
        <f t="shared" si="108"/>
        <v>53964.011255628531</v>
      </c>
      <c r="N276" s="468">
        <f t="shared" si="108"/>
        <v>97728.264050010912</v>
      </c>
      <c r="O276" s="468">
        <f t="shared" si="108"/>
        <v>1886.5004541253822</v>
      </c>
      <c r="P276" s="468">
        <f t="shared" si="101"/>
        <v>3966.083633232</v>
      </c>
      <c r="Q276" s="468">
        <f t="shared" si="102"/>
        <v>158849.01681966757</v>
      </c>
      <c r="R276" s="469">
        <f t="shared" si="103"/>
        <v>31316.546748186964</v>
      </c>
      <c r="W276" s="470">
        <f t="shared" si="104"/>
        <v>257.11022854925949</v>
      </c>
      <c r="X276" s="470">
        <f t="shared" si="95"/>
        <v>10638.822417925967</v>
      </c>
      <c r="Y276" s="470">
        <f t="shared" si="96"/>
        <v>19266.796930923119</v>
      </c>
      <c r="Z276" s="470">
        <f t="shared" si="97"/>
        <v>371.91718806268847</v>
      </c>
    </row>
    <row r="277" spans="1:28" ht="15" customHeight="1" x14ac:dyDescent="0.3">
      <c r="A277" s="463">
        <f t="shared" si="106"/>
        <v>25</v>
      </c>
      <c r="B277" s="463">
        <f t="shared" si="105"/>
        <v>2043</v>
      </c>
      <c r="C277" s="479">
        <v>39132.199999999997</v>
      </c>
      <c r="D277" s="480">
        <v>4107.8</v>
      </c>
      <c r="E277" s="471">
        <v>0.7</v>
      </c>
      <c r="F277" s="466">
        <f t="shared" si="98"/>
        <v>9998277.0999999996</v>
      </c>
      <c r="G277" s="466">
        <f t="shared" si="99"/>
        <v>1049542.8999999999</v>
      </c>
      <c r="H277" s="467">
        <f t="shared" si="107"/>
        <v>0.62391316083868209</v>
      </c>
      <c r="I277" s="467">
        <f t="shared" si="107"/>
        <v>6.30404341740884</v>
      </c>
      <c r="J277" s="467">
        <f t="shared" si="107"/>
        <v>0.2554837149910516</v>
      </c>
      <c r="K277" s="467">
        <f t="shared" si="107"/>
        <v>3.7829675053416181E-2</v>
      </c>
      <c r="L277" s="468">
        <f t="shared" si="108"/>
        <v>1310.2176377612325</v>
      </c>
      <c r="M277" s="468">
        <f t="shared" si="108"/>
        <v>54214.773389716021</v>
      </c>
      <c r="N277" s="468">
        <f t="shared" si="108"/>
        <v>98182.391671061137</v>
      </c>
      <c r="O277" s="468">
        <f t="shared" si="108"/>
        <v>1895.2667201761508</v>
      </c>
      <c r="P277" s="468">
        <f t="shared" si="101"/>
        <v>3984.5133898919999</v>
      </c>
      <c r="Q277" s="468">
        <f t="shared" si="102"/>
        <v>159587.16280860655</v>
      </c>
      <c r="R277" s="469">
        <f t="shared" si="103"/>
        <v>29403.803490593498</v>
      </c>
      <c r="W277" s="470">
        <f t="shared" si="104"/>
        <v>241.40652213263871</v>
      </c>
      <c r="X277" s="470">
        <f t="shared" si="95"/>
        <v>9989.0274066097772</v>
      </c>
      <c r="Y277" s="470">
        <f t="shared" si="96"/>
        <v>18090.024912559398</v>
      </c>
      <c r="Z277" s="470">
        <f t="shared" si="97"/>
        <v>349.20133437772836</v>
      </c>
    </row>
    <row r="278" spans="1:28" ht="15" customHeight="1" x14ac:dyDescent="0.3">
      <c r="A278" s="463">
        <f t="shared" si="106"/>
        <v>26</v>
      </c>
      <c r="B278" s="463">
        <f t="shared" si="105"/>
        <v>2044</v>
      </c>
      <c r="C278" s="479">
        <v>39304.15</v>
      </c>
      <c r="D278" s="480">
        <v>4125.8500000000004</v>
      </c>
      <c r="E278" s="471">
        <v>0.7</v>
      </c>
      <c r="F278" s="466">
        <f t="shared" si="98"/>
        <v>10042210.324999999</v>
      </c>
      <c r="G278" s="466">
        <f t="shared" si="99"/>
        <v>1054154.675</v>
      </c>
      <c r="H278" s="467">
        <f t="shared" si="107"/>
        <v>0.62665468490342191</v>
      </c>
      <c r="I278" s="467">
        <f t="shared" si="107"/>
        <v>6.3317438857092023</v>
      </c>
      <c r="J278" s="467">
        <f t="shared" si="107"/>
        <v>0.25660633075997624</v>
      </c>
      <c r="K278" s="467">
        <f t="shared" si="107"/>
        <v>3.7995901655177265E-2</v>
      </c>
      <c r="L278" s="468">
        <f t="shared" si="108"/>
        <v>1315.9748382971861</v>
      </c>
      <c r="M278" s="468">
        <f t="shared" si="108"/>
        <v>54452.997417099141</v>
      </c>
      <c r="N278" s="468">
        <f t="shared" si="108"/>
        <v>98613.812911058863</v>
      </c>
      <c r="O278" s="468">
        <f t="shared" si="108"/>
        <v>1903.594672924381</v>
      </c>
      <c r="P278" s="468">
        <f t="shared" si="101"/>
        <v>4002.0216587189993</v>
      </c>
      <c r="Q278" s="468">
        <f t="shared" si="102"/>
        <v>160288.40149809857</v>
      </c>
      <c r="R278" s="469">
        <f t="shared" si="103"/>
        <v>27600.940319980538</v>
      </c>
      <c r="W278" s="470">
        <f t="shared" si="104"/>
        <v>226.60493607123252</v>
      </c>
      <c r="X278" s="470">
        <f t="shared" si="95"/>
        <v>9376.5607361879938</v>
      </c>
      <c r="Y278" s="470">
        <f t="shared" si="96"/>
        <v>16980.854131957578</v>
      </c>
      <c r="Z278" s="470">
        <f t="shared" si="97"/>
        <v>327.7904231981625</v>
      </c>
    </row>
    <row r="279" spans="1:28" ht="15" customHeight="1" x14ac:dyDescent="0.3">
      <c r="A279" s="463">
        <f t="shared" si="106"/>
        <v>27</v>
      </c>
      <c r="B279" s="463">
        <f t="shared" si="105"/>
        <v>2045</v>
      </c>
      <c r="C279" s="479">
        <v>39476.1</v>
      </c>
      <c r="D279" s="480">
        <v>4143.8999999999996</v>
      </c>
      <c r="E279" s="471">
        <v>0.7</v>
      </c>
      <c r="F279" s="466">
        <f t="shared" si="98"/>
        <v>10086143.549999999</v>
      </c>
      <c r="G279" s="466">
        <f t="shared" si="99"/>
        <v>1058766.45</v>
      </c>
      <c r="H279" s="467">
        <f t="shared" si="107"/>
        <v>0.62939620896816151</v>
      </c>
      <c r="I279" s="467">
        <f t="shared" si="107"/>
        <v>6.3594443540095646</v>
      </c>
      <c r="J279" s="467">
        <f t="shared" si="107"/>
        <v>0.25772894652890083</v>
      </c>
      <c r="K279" s="467">
        <f t="shared" si="107"/>
        <v>3.8162128256938342E-2</v>
      </c>
      <c r="L279" s="468">
        <f t="shared" si="108"/>
        <v>1321.7320388331391</v>
      </c>
      <c r="M279" s="468">
        <f t="shared" si="108"/>
        <v>54691.221444482253</v>
      </c>
      <c r="N279" s="468">
        <f t="shared" si="108"/>
        <v>99045.234151056589</v>
      </c>
      <c r="O279" s="468">
        <f t="shared" si="108"/>
        <v>1911.922625672611</v>
      </c>
      <c r="P279" s="468">
        <f t="shared" si="101"/>
        <v>4019.5299275459997</v>
      </c>
      <c r="Q279" s="468">
        <f t="shared" si="102"/>
        <v>160989.64018759062</v>
      </c>
      <c r="R279" s="469">
        <f t="shared" si="103"/>
        <v>25908.121926949825</v>
      </c>
      <c r="W279" s="470">
        <f t="shared" si="104"/>
        <v>212.70682248213703</v>
      </c>
      <c r="X279" s="470">
        <f t="shared" si="95"/>
        <v>8801.478355168596</v>
      </c>
      <c r="Y279" s="470">
        <f t="shared" si="96"/>
        <v>15939.385911284662</v>
      </c>
      <c r="Z279" s="470">
        <f t="shared" si="97"/>
        <v>307.68641039945783</v>
      </c>
    </row>
    <row r="280" spans="1:28" ht="15" customHeight="1" x14ac:dyDescent="0.3">
      <c r="A280" s="463">
        <f t="shared" si="106"/>
        <v>28</v>
      </c>
      <c r="B280" s="463">
        <f t="shared" si="105"/>
        <v>2046</v>
      </c>
      <c r="C280" s="479">
        <v>39657.1</v>
      </c>
      <c r="D280" s="480">
        <v>4162.8999999999996</v>
      </c>
      <c r="E280" s="471">
        <v>0.7</v>
      </c>
      <c r="F280" s="466">
        <f t="shared" si="98"/>
        <v>10132389.049999999</v>
      </c>
      <c r="G280" s="466">
        <f t="shared" si="99"/>
        <v>1063620.95</v>
      </c>
      <c r="H280" s="467">
        <f t="shared" si="107"/>
        <v>0.6322820237731509</v>
      </c>
      <c r="I280" s="467">
        <f t="shared" si="107"/>
        <v>6.3886027416941573</v>
      </c>
      <c r="J280" s="467">
        <f t="shared" si="107"/>
        <v>0.25891064733829516</v>
      </c>
      <c r="K280" s="467">
        <f t="shared" si="107"/>
        <v>3.8337103627213168E-2</v>
      </c>
      <c r="L280" s="468">
        <f t="shared" si="108"/>
        <v>1327.792249923617</v>
      </c>
      <c r="M280" s="468">
        <f t="shared" si="108"/>
        <v>54941.983578569751</v>
      </c>
      <c r="N280" s="468">
        <f t="shared" si="108"/>
        <v>99499.361772106829</v>
      </c>
      <c r="O280" s="468">
        <f t="shared" si="108"/>
        <v>1920.6888917233798</v>
      </c>
      <c r="P280" s="468">
        <f t="shared" si="101"/>
        <v>4037.9596842059996</v>
      </c>
      <c r="Q280" s="468">
        <f t="shared" si="102"/>
        <v>161727.78617652957</v>
      </c>
      <c r="R280" s="469">
        <f t="shared" si="103"/>
        <v>24324.216852402897</v>
      </c>
      <c r="W280" s="470">
        <f t="shared" si="104"/>
        <v>199.70289203630438</v>
      </c>
      <c r="X280" s="470">
        <f t="shared" si="95"/>
        <v>8263.395885525546</v>
      </c>
      <c r="Y280" s="470">
        <f t="shared" si="96"/>
        <v>14964.924145926674</v>
      </c>
      <c r="Z280" s="470">
        <f t="shared" si="97"/>
        <v>288.87585870547781</v>
      </c>
    </row>
    <row r="281" spans="1:28" ht="15" customHeight="1" x14ac:dyDescent="0.3">
      <c r="A281" s="463">
        <f t="shared" si="106"/>
        <v>29</v>
      </c>
      <c r="B281" s="463">
        <f t="shared" si="105"/>
        <v>2047</v>
      </c>
      <c r="C281" s="479">
        <v>39829.050000000003</v>
      </c>
      <c r="D281" s="480">
        <v>4180.95</v>
      </c>
      <c r="E281" s="471">
        <v>0.7</v>
      </c>
      <c r="F281" s="466">
        <f t="shared" si="98"/>
        <v>10176322.275</v>
      </c>
      <c r="G281" s="466">
        <f t="shared" si="99"/>
        <v>1068232.7249999999</v>
      </c>
      <c r="H281" s="467">
        <f t="shared" si="107"/>
        <v>0.63502354783789072</v>
      </c>
      <c r="I281" s="467">
        <f t="shared" si="107"/>
        <v>6.4163032099945196</v>
      </c>
      <c r="J281" s="467">
        <f t="shared" si="107"/>
        <v>0.26003326310721975</v>
      </c>
      <c r="K281" s="467">
        <f t="shared" si="107"/>
        <v>3.8503330228974245E-2</v>
      </c>
      <c r="L281" s="468">
        <f t="shared" si="108"/>
        <v>1333.5494504595706</v>
      </c>
      <c r="M281" s="468">
        <f t="shared" si="108"/>
        <v>55180.20760595287</v>
      </c>
      <c r="N281" s="468">
        <f t="shared" si="108"/>
        <v>99930.783012104555</v>
      </c>
      <c r="O281" s="468">
        <f t="shared" si="108"/>
        <v>1929.0168444716096</v>
      </c>
      <c r="P281" s="468">
        <f t="shared" si="101"/>
        <v>4055.467953033</v>
      </c>
      <c r="Q281" s="468">
        <f t="shared" si="102"/>
        <v>162429.02486602159</v>
      </c>
      <c r="R281" s="469">
        <f t="shared" si="103"/>
        <v>22831.48103060207</v>
      </c>
      <c r="W281" s="470">
        <f t="shared" si="104"/>
        <v>187.44746517225855</v>
      </c>
      <c r="X281" s="470">
        <f t="shared" si="95"/>
        <v>7756.2853329888039</v>
      </c>
      <c r="Y281" s="470">
        <f t="shared" si="96"/>
        <v>14046.552200852104</v>
      </c>
      <c r="Z281" s="470">
        <f t="shared" si="97"/>
        <v>271.14803852694058</v>
      </c>
    </row>
    <row r="282" spans="1:28" ht="15" customHeight="1" x14ac:dyDescent="0.3">
      <c r="A282" s="463">
        <f t="shared" si="106"/>
        <v>30</v>
      </c>
      <c r="B282" s="463">
        <f t="shared" si="105"/>
        <v>2048</v>
      </c>
      <c r="C282" s="479">
        <v>40010.050000000003</v>
      </c>
      <c r="D282" s="480">
        <v>4199.95</v>
      </c>
      <c r="E282" s="471">
        <v>0.7</v>
      </c>
      <c r="F282" s="466">
        <f t="shared" si="98"/>
        <v>10222567.775</v>
      </c>
      <c r="G282" s="466">
        <f t="shared" si="99"/>
        <v>1073087.2249999999</v>
      </c>
      <c r="H282" s="467">
        <f t="shared" si="107"/>
        <v>0.63790936264288001</v>
      </c>
      <c r="I282" s="467">
        <f t="shared" si="107"/>
        <v>6.4454615976791114</v>
      </c>
      <c r="J282" s="467">
        <f t="shared" si="107"/>
        <v>0.26121496391661408</v>
      </c>
      <c r="K282" s="467">
        <f t="shared" si="107"/>
        <v>3.8678305599249063E-2</v>
      </c>
      <c r="L282" s="468">
        <f t="shared" si="108"/>
        <v>1339.609661550048</v>
      </c>
      <c r="M282" s="468">
        <f t="shared" si="108"/>
        <v>55430.96974004036</v>
      </c>
      <c r="N282" s="468">
        <f t="shared" si="108"/>
        <v>100384.9106331548</v>
      </c>
      <c r="O282" s="468">
        <f t="shared" si="108"/>
        <v>1937.7831105223781</v>
      </c>
      <c r="P282" s="468">
        <f t="shared" si="101"/>
        <v>4073.8977096929998</v>
      </c>
      <c r="Q282" s="468">
        <f t="shared" si="102"/>
        <v>163167.17085496057</v>
      </c>
      <c r="R282" s="469">
        <f t="shared" si="103"/>
        <v>21434.800849486575</v>
      </c>
      <c r="W282" s="470">
        <f t="shared" si="104"/>
        <v>175.98065935026557</v>
      </c>
      <c r="X282" s="470">
        <f t="shared" si="95"/>
        <v>7281.8066958324043</v>
      </c>
      <c r="Y282" s="470">
        <f t="shared" si="96"/>
        <v>13187.276315698675</v>
      </c>
      <c r="Z282" s="470">
        <f t="shared" si="97"/>
        <v>254.56098090017869</v>
      </c>
    </row>
    <row r="283" spans="1:28" ht="15" customHeight="1" x14ac:dyDescent="0.3">
      <c r="A283" s="463">
        <f t="shared" si="106"/>
        <v>31</v>
      </c>
      <c r="B283" s="463">
        <f t="shared" si="105"/>
        <v>2049</v>
      </c>
      <c r="C283" s="481">
        <v>40010.050000000003</v>
      </c>
      <c r="D283" s="482">
        <v>4199.95</v>
      </c>
      <c r="E283" s="474">
        <v>0.7</v>
      </c>
      <c r="F283" s="466">
        <f t="shared" si="98"/>
        <v>10222567.775</v>
      </c>
      <c r="G283" s="466">
        <f t="shared" si="99"/>
        <v>1073087.2249999999</v>
      </c>
      <c r="H283" s="467">
        <f t="shared" si="107"/>
        <v>0.63790936264288001</v>
      </c>
      <c r="I283" s="467">
        <f t="shared" si="107"/>
        <v>6.4454615976791114</v>
      </c>
      <c r="J283" s="467">
        <f t="shared" si="107"/>
        <v>0.26121496391661408</v>
      </c>
      <c r="K283" s="467">
        <f t="shared" si="107"/>
        <v>3.8678305599249063E-2</v>
      </c>
      <c r="L283" s="468">
        <f t="shared" si="108"/>
        <v>1339.609661550048</v>
      </c>
      <c r="M283" s="468">
        <f t="shared" si="108"/>
        <v>55430.96974004036</v>
      </c>
      <c r="N283" s="468">
        <f t="shared" si="108"/>
        <v>100384.9106331548</v>
      </c>
      <c r="O283" s="468">
        <f t="shared" si="108"/>
        <v>1937.7831105223781</v>
      </c>
      <c r="P283" s="468">
        <f t="shared" si="101"/>
        <v>4073.8977096929998</v>
      </c>
      <c r="Q283" s="468">
        <f t="shared" si="102"/>
        <v>163167.17085496057</v>
      </c>
      <c r="R283" s="469">
        <f t="shared" si="103"/>
        <v>20032.524158398664</v>
      </c>
      <c r="W283" s="470">
        <f t="shared" si="104"/>
        <v>164.4679059348276</v>
      </c>
      <c r="X283" s="470">
        <f t="shared" si="95"/>
        <v>6805.4268185349565</v>
      </c>
      <c r="Y283" s="470">
        <f t="shared" si="96"/>
        <v>12324.557304391281</v>
      </c>
      <c r="Z283" s="470">
        <f t="shared" si="97"/>
        <v>237.90745878521369</v>
      </c>
    </row>
    <row r="284" spans="1:28" ht="15" customHeight="1" x14ac:dyDescent="0.3">
      <c r="A284" s="307" t="s">
        <v>40</v>
      </c>
      <c r="B284" s="308"/>
      <c r="C284" s="308"/>
      <c r="D284" s="308"/>
      <c r="E284" s="308"/>
      <c r="F284" s="308"/>
      <c r="G284" s="308"/>
      <c r="H284" s="308"/>
      <c r="I284" s="308"/>
      <c r="J284" s="308"/>
      <c r="K284" s="308"/>
      <c r="L284" s="308"/>
      <c r="M284" s="308"/>
      <c r="N284" s="308"/>
      <c r="O284" s="308"/>
      <c r="P284" s="308"/>
      <c r="Q284" s="308"/>
      <c r="R284" s="309">
        <f>SUM(R252:R281)</f>
        <v>1145579.3371063336</v>
      </c>
      <c r="W284" s="475">
        <f>SUM(W252:W281)</f>
        <v>9405.2568296589325</v>
      </c>
      <c r="X284" s="475">
        <f>SUM(X252:X281)</f>
        <v>389174.93780904252</v>
      </c>
      <c r="Y284" s="475">
        <f>SUM(Y252:Y281)</f>
        <v>704791.7713841506</v>
      </c>
      <c r="Z284" s="475">
        <f>SUM(Z252:Z281)</f>
        <v>13604.968938153201</v>
      </c>
      <c r="AB284" s="208"/>
    </row>
    <row r="286" spans="1:28" ht="15" customHeight="1" x14ac:dyDescent="0.25">
      <c r="E286" s="583" t="s">
        <v>180</v>
      </c>
      <c r="F286" s="584"/>
      <c r="G286" s="584"/>
      <c r="H286" s="310"/>
      <c r="I286" s="310"/>
      <c r="J286" s="310"/>
      <c r="K286" s="310"/>
      <c r="L286" s="310"/>
      <c r="M286" s="310"/>
      <c r="N286" s="310"/>
      <c r="O286" s="311"/>
      <c r="P286" s="312"/>
      <c r="Q286" s="312"/>
      <c r="R286" s="313">
        <f>SUM(R284,R237,R190,R143,R96,R46)</f>
        <v>3660983.5297967861</v>
      </c>
      <c r="W286" s="313">
        <f t="shared" ref="W286:Z286" si="109">SUM(W284,W237,W190,W143,W96,W46)</f>
        <v>26914.560527318874</v>
      </c>
      <c r="X286" s="313">
        <f t="shared" si="109"/>
        <v>1266137.2004839694</v>
      </c>
      <c r="Y286" s="313">
        <f t="shared" si="109"/>
        <v>2260609.4554295894</v>
      </c>
      <c r="Z286" s="313">
        <f t="shared" si="109"/>
        <v>38757.630834481817</v>
      </c>
      <c r="AB286" s="208">
        <f>W286+Z286</f>
        <v>65672.191361800695</v>
      </c>
    </row>
  </sheetData>
  <mergeCells count="7">
    <mergeCell ref="A239:R239"/>
    <mergeCell ref="E286:G286"/>
    <mergeCell ref="A1:R1"/>
    <mergeCell ref="A51:R51"/>
    <mergeCell ref="A98:R98"/>
    <mergeCell ref="A145:R145"/>
    <mergeCell ref="A192:R192"/>
  </mergeCells>
  <pageMargins left="0.75" right="0.75" top="1" bottom="1" header="0.5" footer="0.5"/>
  <pageSetup scale="61" orientation="portrait" horizontalDpi="4294967292" verticalDpi="4294967292" r:id="rId1"/>
  <headerFooter>
    <oddFooter>&amp;L&amp;"Helvetica,Regular"&amp;12&amp;K000000	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23"/>
  <sheetViews>
    <sheetView zoomScale="75" zoomScaleNormal="75" zoomScalePageLayoutView="75" workbookViewId="0">
      <selection activeCell="A150" sqref="A150"/>
    </sheetView>
  </sheetViews>
  <sheetFormatPr defaultColWidth="16" defaultRowHeight="16.2" x14ac:dyDescent="0.25"/>
  <cols>
    <col min="1" max="1" width="8.6640625" style="6" customWidth="1"/>
    <col min="2" max="2" width="9.33203125" style="6" customWidth="1"/>
    <col min="3" max="3" width="11.6640625" style="6" customWidth="1"/>
    <col min="4" max="4" width="20.33203125" style="6" customWidth="1"/>
    <col min="5" max="6" width="15.88671875" style="6" customWidth="1"/>
    <col min="7" max="7" width="28.88671875" style="6" customWidth="1"/>
    <col min="8" max="8" width="15.88671875" style="6" customWidth="1"/>
    <col min="9" max="9" width="19.33203125" style="6" customWidth="1"/>
    <col min="10" max="11" width="15.88671875" style="6" customWidth="1"/>
    <col min="12" max="12" width="34.33203125" style="6" customWidth="1"/>
    <col min="13" max="13" width="23.109375" style="6" customWidth="1"/>
    <col min="14" max="14" width="18.6640625" style="6" customWidth="1"/>
    <col min="15" max="15" width="6.33203125" style="6" customWidth="1"/>
    <col min="16" max="16" width="19.44140625" style="6" customWidth="1"/>
    <col min="17" max="16384" width="16" style="6"/>
  </cols>
  <sheetData>
    <row r="1" spans="1:16" ht="15" customHeight="1" x14ac:dyDescent="0.25">
      <c r="A1" s="586" t="s">
        <v>144</v>
      </c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  <c r="M1" s="586"/>
      <c r="N1" s="586"/>
      <c r="O1" s="248"/>
      <c r="P1" s="191"/>
    </row>
    <row r="2" spans="1:16" x14ac:dyDescent="0.3">
      <c r="A2" s="484" t="s">
        <v>145</v>
      </c>
      <c r="B2" s="484" t="s">
        <v>146</v>
      </c>
      <c r="C2" s="484" t="s">
        <v>147</v>
      </c>
      <c r="D2" s="484" t="s">
        <v>148</v>
      </c>
      <c r="E2" s="484" t="s">
        <v>149</v>
      </c>
      <c r="F2" s="484" t="s">
        <v>150</v>
      </c>
      <c r="G2" s="484" t="s">
        <v>151</v>
      </c>
      <c r="H2" s="484" t="s">
        <v>152</v>
      </c>
      <c r="I2" s="484" t="s">
        <v>153</v>
      </c>
      <c r="J2" s="484" t="s">
        <v>154</v>
      </c>
      <c r="K2" s="484" t="s">
        <v>155</v>
      </c>
      <c r="L2" s="484" t="s">
        <v>88</v>
      </c>
      <c r="M2" s="484" t="s">
        <v>156</v>
      </c>
      <c r="N2" s="484" t="s">
        <v>157</v>
      </c>
      <c r="O2" s="248"/>
      <c r="P2" s="485" t="s">
        <v>160</v>
      </c>
    </row>
    <row r="3" spans="1:16" ht="167.1" customHeight="1" x14ac:dyDescent="0.3">
      <c r="A3" s="486" t="s">
        <v>29</v>
      </c>
      <c r="B3" s="487" t="s">
        <v>30</v>
      </c>
      <c r="C3" s="488" t="s">
        <v>225</v>
      </c>
      <c r="D3" s="488" t="s">
        <v>256</v>
      </c>
      <c r="E3" s="488" t="s">
        <v>183</v>
      </c>
      <c r="F3" s="488" t="s">
        <v>184</v>
      </c>
      <c r="G3" s="487" t="s">
        <v>257</v>
      </c>
      <c r="H3" s="488" t="s">
        <v>226</v>
      </c>
      <c r="I3" s="488" t="s">
        <v>258</v>
      </c>
      <c r="J3" s="488" t="s">
        <v>183</v>
      </c>
      <c r="K3" s="488" t="s">
        <v>184</v>
      </c>
      <c r="L3" s="487" t="s">
        <v>259</v>
      </c>
      <c r="M3" s="486" t="s">
        <v>260</v>
      </c>
      <c r="N3" s="486" t="s">
        <v>32</v>
      </c>
      <c r="O3" s="248"/>
      <c r="P3" s="462" t="s">
        <v>173</v>
      </c>
    </row>
    <row r="4" spans="1:16" x14ac:dyDescent="0.3">
      <c r="A4" s="489">
        <v>0</v>
      </c>
      <c r="B4" s="490">
        <v>2018</v>
      </c>
      <c r="C4" s="421">
        <v>26552.7</v>
      </c>
      <c r="D4" s="491">
        <f>C4*365</f>
        <v>9691735.5</v>
      </c>
      <c r="E4" s="483">
        <v>0</v>
      </c>
      <c r="F4" s="491">
        <f t="shared" ref="F4:F33" si="0">D4*E4</f>
        <v>0</v>
      </c>
      <c r="G4" s="492">
        <f t="shared" ref="G4:G10" si="1">F4*0.41</f>
        <v>0</v>
      </c>
      <c r="H4" s="464">
        <v>2787.3</v>
      </c>
      <c r="I4" s="491">
        <f>H4*365</f>
        <v>1017364.5000000001</v>
      </c>
      <c r="J4" s="483">
        <v>0</v>
      </c>
      <c r="K4" s="493">
        <f t="shared" ref="K4:K33" si="2">I4*J4</f>
        <v>0</v>
      </c>
      <c r="L4" s="494">
        <f t="shared" ref="L4:L10" si="3">K4*0.96</f>
        <v>0</v>
      </c>
      <c r="M4" s="494">
        <f t="shared" ref="M4:M33" si="4">G4+L4</f>
        <v>0</v>
      </c>
      <c r="N4" s="494">
        <f t="shared" ref="N4:N33" si="5">M4/(1+0.07)^A4</f>
        <v>0</v>
      </c>
      <c r="O4" s="248"/>
      <c r="P4" s="470">
        <f>L4/(1+0.07)^A4</f>
        <v>0</v>
      </c>
    </row>
    <row r="5" spans="1:16" x14ac:dyDescent="0.3">
      <c r="A5" s="489">
        <v>1</v>
      </c>
      <c r="B5" s="490">
        <f>1+B4</f>
        <v>2019</v>
      </c>
      <c r="C5" s="421">
        <v>26679.4</v>
      </c>
      <c r="D5" s="491">
        <f t="shared" ref="D5:D13" si="6">C5*365</f>
        <v>9737981</v>
      </c>
      <c r="E5" s="483">
        <v>0</v>
      </c>
      <c r="F5" s="491">
        <f t="shared" si="0"/>
        <v>0</v>
      </c>
      <c r="G5" s="492">
        <f t="shared" si="1"/>
        <v>0</v>
      </c>
      <c r="H5" s="464">
        <v>2800.6</v>
      </c>
      <c r="I5" s="491">
        <f t="shared" ref="I5:I13" si="7">H5*365</f>
        <v>1022219</v>
      </c>
      <c r="J5" s="483">
        <v>0</v>
      </c>
      <c r="K5" s="493">
        <f t="shared" si="2"/>
        <v>0</v>
      </c>
      <c r="L5" s="494">
        <f t="shared" si="3"/>
        <v>0</v>
      </c>
      <c r="M5" s="494">
        <f t="shared" si="4"/>
        <v>0</v>
      </c>
      <c r="N5" s="494">
        <f t="shared" si="5"/>
        <v>0</v>
      </c>
      <c r="O5" s="248"/>
      <c r="P5" s="470">
        <f t="shared" ref="P5:P35" si="8">L5/(1+0.07)^A5</f>
        <v>0</v>
      </c>
    </row>
    <row r="6" spans="1:16" x14ac:dyDescent="0.3">
      <c r="A6" s="489">
        <v>2</v>
      </c>
      <c r="B6" s="490">
        <f t="shared" ref="B6:B35" si="9">1+B5</f>
        <v>2020</v>
      </c>
      <c r="C6" s="421">
        <v>26815.15</v>
      </c>
      <c r="D6" s="491">
        <f t="shared" si="6"/>
        <v>9787529.75</v>
      </c>
      <c r="E6" s="483">
        <v>0</v>
      </c>
      <c r="F6" s="491">
        <f t="shared" si="0"/>
        <v>0</v>
      </c>
      <c r="G6" s="492">
        <f t="shared" si="1"/>
        <v>0</v>
      </c>
      <c r="H6" s="464">
        <v>2814.85</v>
      </c>
      <c r="I6" s="491">
        <f t="shared" si="7"/>
        <v>1027420.25</v>
      </c>
      <c r="J6" s="483">
        <v>0</v>
      </c>
      <c r="K6" s="493">
        <f t="shared" si="2"/>
        <v>0</v>
      </c>
      <c r="L6" s="494">
        <f t="shared" si="3"/>
        <v>0</v>
      </c>
      <c r="M6" s="494">
        <f t="shared" si="4"/>
        <v>0</v>
      </c>
      <c r="N6" s="494">
        <f t="shared" si="5"/>
        <v>0</v>
      </c>
      <c r="O6" s="248"/>
      <c r="P6" s="470">
        <f t="shared" si="8"/>
        <v>0</v>
      </c>
    </row>
    <row r="7" spans="1:16" x14ac:dyDescent="0.3">
      <c r="A7" s="489">
        <v>3</v>
      </c>
      <c r="B7" s="490">
        <f t="shared" si="9"/>
        <v>2021</v>
      </c>
      <c r="C7" s="421">
        <v>26941.85</v>
      </c>
      <c r="D7" s="491">
        <f t="shared" si="6"/>
        <v>9833775.25</v>
      </c>
      <c r="E7" s="483">
        <v>0</v>
      </c>
      <c r="F7" s="491">
        <f t="shared" si="0"/>
        <v>0</v>
      </c>
      <c r="G7" s="492">
        <f t="shared" si="1"/>
        <v>0</v>
      </c>
      <c r="H7" s="464">
        <v>2828.15</v>
      </c>
      <c r="I7" s="491">
        <f t="shared" si="7"/>
        <v>1032274.75</v>
      </c>
      <c r="J7" s="483">
        <v>0</v>
      </c>
      <c r="K7" s="493">
        <f t="shared" si="2"/>
        <v>0</v>
      </c>
      <c r="L7" s="494">
        <f t="shared" si="3"/>
        <v>0</v>
      </c>
      <c r="M7" s="494">
        <f t="shared" si="4"/>
        <v>0</v>
      </c>
      <c r="N7" s="494">
        <f t="shared" si="5"/>
        <v>0</v>
      </c>
      <c r="O7" s="248"/>
      <c r="P7" s="470">
        <f t="shared" si="8"/>
        <v>0</v>
      </c>
    </row>
    <row r="8" spans="1:16" x14ac:dyDescent="0.3">
      <c r="A8" s="489">
        <v>4</v>
      </c>
      <c r="B8" s="490">
        <f t="shared" si="9"/>
        <v>2022</v>
      </c>
      <c r="C8" s="421">
        <v>27077.599999999999</v>
      </c>
      <c r="D8" s="491">
        <f t="shared" si="6"/>
        <v>9883324</v>
      </c>
      <c r="E8" s="483">
        <v>0</v>
      </c>
      <c r="F8" s="491">
        <f t="shared" si="0"/>
        <v>0</v>
      </c>
      <c r="G8" s="492">
        <f t="shared" si="1"/>
        <v>0</v>
      </c>
      <c r="H8" s="464">
        <v>2842.4</v>
      </c>
      <c r="I8" s="491">
        <f t="shared" si="7"/>
        <v>1037476</v>
      </c>
      <c r="J8" s="483">
        <v>0</v>
      </c>
      <c r="K8" s="493">
        <f t="shared" si="2"/>
        <v>0</v>
      </c>
      <c r="L8" s="494">
        <f t="shared" si="3"/>
        <v>0</v>
      </c>
      <c r="M8" s="494">
        <f t="shared" si="4"/>
        <v>0</v>
      </c>
      <c r="N8" s="494">
        <f t="shared" si="5"/>
        <v>0</v>
      </c>
      <c r="O8" s="248"/>
      <c r="P8" s="470">
        <f t="shared" si="8"/>
        <v>0</v>
      </c>
    </row>
    <row r="9" spans="1:16" x14ac:dyDescent="0.3">
      <c r="A9" s="489">
        <v>5</v>
      </c>
      <c r="B9" s="490">
        <f t="shared" si="9"/>
        <v>2023</v>
      </c>
      <c r="C9" s="421">
        <v>27204.3</v>
      </c>
      <c r="D9" s="491">
        <f t="shared" si="6"/>
        <v>9929569.5</v>
      </c>
      <c r="E9" s="483">
        <v>0</v>
      </c>
      <c r="F9" s="491">
        <f t="shared" si="0"/>
        <v>0</v>
      </c>
      <c r="G9" s="492">
        <f t="shared" si="1"/>
        <v>0</v>
      </c>
      <c r="H9" s="464">
        <v>2855.7</v>
      </c>
      <c r="I9" s="491">
        <f t="shared" si="7"/>
        <v>1042330.4999999999</v>
      </c>
      <c r="J9" s="483">
        <v>0</v>
      </c>
      <c r="K9" s="493">
        <f t="shared" si="2"/>
        <v>0</v>
      </c>
      <c r="L9" s="494">
        <f t="shared" si="3"/>
        <v>0</v>
      </c>
      <c r="M9" s="494">
        <f t="shared" si="4"/>
        <v>0</v>
      </c>
      <c r="N9" s="494">
        <f t="shared" si="5"/>
        <v>0</v>
      </c>
      <c r="O9" s="248"/>
      <c r="P9" s="470">
        <f t="shared" si="8"/>
        <v>0</v>
      </c>
    </row>
    <row r="10" spans="1:16" x14ac:dyDescent="0.3">
      <c r="A10" s="489">
        <v>6</v>
      </c>
      <c r="B10" s="490">
        <f t="shared" si="9"/>
        <v>2024</v>
      </c>
      <c r="C10" s="421">
        <v>27340.05</v>
      </c>
      <c r="D10" s="491">
        <f t="shared" si="6"/>
        <v>9979118.25</v>
      </c>
      <c r="E10" s="483">
        <v>0</v>
      </c>
      <c r="F10" s="491">
        <f t="shared" si="0"/>
        <v>0</v>
      </c>
      <c r="G10" s="492">
        <f t="shared" si="1"/>
        <v>0</v>
      </c>
      <c r="H10" s="464">
        <v>2869.95</v>
      </c>
      <c r="I10" s="491">
        <f t="shared" si="7"/>
        <v>1047531.7499999999</v>
      </c>
      <c r="J10" s="483">
        <v>0</v>
      </c>
      <c r="K10" s="493">
        <f t="shared" si="2"/>
        <v>0</v>
      </c>
      <c r="L10" s="494">
        <f t="shared" si="3"/>
        <v>0</v>
      </c>
      <c r="M10" s="494">
        <f t="shared" si="4"/>
        <v>0</v>
      </c>
      <c r="N10" s="494">
        <f t="shared" si="5"/>
        <v>0</v>
      </c>
      <c r="O10" s="248"/>
      <c r="P10" s="470">
        <f t="shared" si="8"/>
        <v>0</v>
      </c>
    </row>
    <row r="11" spans="1:16" x14ac:dyDescent="0.3">
      <c r="A11" s="489">
        <v>7</v>
      </c>
      <c r="B11" s="490">
        <f t="shared" si="9"/>
        <v>2025</v>
      </c>
      <c r="C11" s="421">
        <v>27466.75</v>
      </c>
      <c r="D11" s="491">
        <f t="shared" si="6"/>
        <v>10025363.75</v>
      </c>
      <c r="E11" s="495">
        <v>-0.7</v>
      </c>
      <c r="F11" s="491">
        <f t="shared" si="0"/>
        <v>-7017754.625</v>
      </c>
      <c r="G11" s="492">
        <f t="shared" ref="G11:G35" si="10">F11*0.41</f>
        <v>-2877279.3962499998</v>
      </c>
      <c r="H11" s="464">
        <v>2883.25</v>
      </c>
      <c r="I11" s="491">
        <f t="shared" si="7"/>
        <v>1052386.25</v>
      </c>
      <c r="J11" s="495">
        <v>-0.7</v>
      </c>
      <c r="K11" s="493">
        <f t="shared" si="2"/>
        <v>-736670.375</v>
      </c>
      <c r="L11" s="494">
        <f t="shared" ref="L11:L35" si="11">K11*0.96</f>
        <v>-707203.55999999994</v>
      </c>
      <c r="M11" s="496">
        <f t="shared" si="4"/>
        <v>-3584482.9562499998</v>
      </c>
      <c r="N11" s="494">
        <f t="shared" si="5"/>
        <v>-2232235.8357944037</v>
      </c>
      <c r="O11" s="248"/>
      <c r="P11" s="470">
        <f t="shared" si="8"/>
        <v>-440410.83444986388</v>
      </c>
    </row>
    <row r="12" spans="1:16" x14ac:dyDescent="0.3">
      <c r="A12" s="489">
        <v>8</v>
      </c>
      <c r="B12" s="490">
        <f t="shared" si="9"/>
        <v>2026</v>
      </c>
      <c r="C12" s="421">
        <v>27602.5</v>
      </c>
      <c r="D12" s="491">
        <f t="shared" si="6"/>
        <v>10074912.5</v>
      </c>
      <c r="E12" s="483">
        <v>-0.7</v>
      </c>
      <c r="F12" s="491">
        <f t="shared" si="0"/>
        <v>-7052438.75</v>
      </c>
      <c r="G12" s="492">
        <f t="shared" si="10"/>
        <v>-2891499.8874999997</v>
      </c>
      <c r="H12" s="464">
        <v>2897.5</v>
      </c>
      <c r="I12" s="491">
        <f t="shared" si="7"/>
        <v>1057587.5</v>
      </c>
      <c r="J12" s="483">
        <v>-0.7</v>
      </c>
      <c r="K12" s="493">
        <f t="shared" si="2"/>
        <v>-740311.25</v>
      </c>
      <c r="L12" s="494">
        <f t="shared" si="11"/>
        <v>-710698.79999999993</v>
      </c>
      <c r="M12" s="494">
        <f t="shared" si="4"/>
        <v>-3602198.6874999995</v>
      </c>
      <c r="N12" s="494">
        <f t="shared" si="5"/>
        <v>-2096512.4325772314</v>
      </c>
      <c r="O12" s="248"/>
      <c r="P12" s="470">
        <f t="shared" si="8"/>
        <v>-413633.17220344732</v>
      </c>
    </row>
    <row r="13" spans="1:16" x14ac:dyDescent="0.3">
      <c r="A13" s="489">
        <v>9</v>
      </c>
      <c r="B13" s="490">
        <f t="shared" si="9"/>
        <v>2027</v>
      </c>
      <c r="C13" s="421">
        <v>27729.200000000001</v>
      </c>
      <c r="D13" s="491">
        <f t="shared" si="6"/>
        <v>10121158</v>
      </c>
      <c r="E13" s="483">
        <v>-0.7</v>
      </c>
      <c r="F13" s="491">
        <f t="shared" si="0"/>
        <v>-7084810.5999999996</v>
      </c>
      <c r="G13" s="492">
        <f t="shared" si="10"/>
        <v>-2904772.3459999999</v>
      </c>
      <c r="H13" s="464">
        <v>2910.8</v>
      </c>
      <c r="I13" s="491">
        <f t="shared" si="7"/>
        <v>1062442</v>
      </c>
      <c r="J13" s="483">
        <v>-0.7</v>
      </c>
      <c r="K13" s="493">
        <f t="shared" si="2"/>
        <v>-743709.39999999991</v>
      </c>
      <c r="L13" s="494">
        <f t="shared" si="11"/>
        <v>-713961.02399999986</v>
      </c>
      <c r="M13" s="494">
        <f t="shared" si="4"/>
        <v>-3618733.3699999996</v>
      </c>
      <c r="N13" s="494">
        <f t="shared" si="5"/>
        <v>-1968351.1853582463</v>
      </c>
      <c r="O13" s="248"/>
      <c r="P13" s="470">
        <f t="shared" si="8"/>
        <v>-388347.49184353062</v>
      </c>
    </row>
    <row r="14" spans="1:16" x14ac:dyDescent="0.3">
      <c r="A14" s="489">
        <v>10</v>
      </c>
      <c r="B14" s="490">
        <f t="shared" si="9"/>
        <v>2028</v>
      </c>
      <c r="C14" s="421">
        <v>27864.95</v>
      </c>
      <c r="D14" s="491">
        <f>C14*365</f>
        <v>10170706.75</v>
      </c>
      <c r="E14" s="483">
        <v>-0.7</v>
      </c>
      <c r="F14" s="491">
        <f t="shared" si="0"/>
        <v>-7119494.7249999996</v>
      </c>
      <c r="G14" s="492">
        <f t="shared" si="10"/>
        <v>-2918992.8372499999</v>
      </c>
      <c r="H14" s="464">
        <v>2925.05</v>
      </c>
      <c r="I14" s="491">
        <f t="shared" ref="I14:I33" si="12">H14*365</f>
        <v>1067643.25</v>
      </c>
      <c r="J14" s="483">
        <v>-0.7</v>
      </c>
      <c r="K14" s="493">
        <f t="shared" si="2"/>
        <v>-747350.27499999991</v>
      </c>
      <c r="L14" s="494">
        <f t="shared" si="11"/>
        <v>-717456.26399999985</v>
      </c>
      <c r="M14" s="494">
        <f t="shared" si="4"/>
        <v>-3636449.1012499998</v>
      </c>
      <c r="N14" s="494">
        <f t="shared" si="5"/>
        <v>-1848586.3265043681</v>
      </c>
      <c r="O14" s="248"/>
      <c r="P14" s="470">
        <f t="shared" si="8"/>
        <v>-364718.38394201914</v>
      </c>
    </row>
    <row r="15" spans="1:16" x14ac:dyDescent="0.3">
      <c r="A15" s="489">
        <v>11</v>
      </c>
      <c r="B15" s="490">
        <f t="shared" si="9"/>
        <v>2029</v>
      </c>
      <c r="C15" s="421">
        <v>27991.65</v>
      </c>
      <c r="D15" s="491">
        <f t="shared" ref="D15:D33" si="13">C15*365</f>
        <v>10216952.25</v>
      </c>
      <c r="E15" s="483">
        <v>-0.7</v>
      </c>
      <c r="F15" s="491">
        <f t="shared" si="0"/>
        <v>-7151866.5749999993</v>
      </c>
      <c r="G15" s="492">
        <f t="shared" si="10"/>
        <v>-2932265.2957499996</v>
      </c>
      <c r="H15" s="464">
        <v>2938.35</v>
      </c>
      <c r="I15" s="491">
        <f t="shared" si="12"/>
        <v>1072497.75</v>
      </c>
      <c r="J15" s="483">
        <v>-0.7</v>
      </c>
      <c r="K15" s="493">
        <f t="shared" si="2"/>
        <v>-750748.42499999993</v>
      </c>
      <c r="L15" s="494">
        <f t="shared" si="11"/>
        <v>-720718.4879999999</v>
      </c>
      <c r="M15" s="494">
        <f t="shared" si="4"/>
        <v>-3652983.7837499995</v>
      </c>
      <c r="N15" s="494">
        <f t="shared" si="5"/>
        <v>-1735506.2809802943</v>
      </c>
      <c r="O15" s="248"/>
      <c r="P15" s="470">
        <f t="shared" si="8"/>
        <v>-342408.16187215329</v>
      </c>
    </row>
    <row r="16" spans="1:16" x14ac:dyDescent="0.3">
      <c r="A16" s="489">
        <v>12</v>
      </c>
      <c r="B16" s="490">
        <f t="shared" si="9"/>
        <v>2030</v>
      </c>
      <c r="C16" s="421">
        <v>28127.4</v>
      </c>
      <c r="D16" s="491">
        <f t="shared" si="13"/>
        <v>10266501</v>
      </c>
      <c r="E16" s="483">
        <v>-0.7</v>
      </c>
      <c r="F16" s="491">
        <f t="shared" si="0"/>
        <v>-7186550.6999999993</v>
      </c>
      <c r="G16" s="492">
        <f t="shared" si="10"/>
        <v>-2946485.7869999995</v>
      </c>
      <c r="H16" s="464">
        <v>2952.6</v>
      </c>
      <c r="I16" s="491">
        <f t="shared" si="12"/>
        <v>1077699</v>
      </c>
      <c r="J16" s="483">
        <v>-0.7</v>
      </c>
      <c r="K16" s="493">
        <f t="shared" si="2"/>
        <v>-754389.29999999993</v>
      </c>
      <c r="L16" s="494">
        <f t="shared" si="11"/>
        <v>-724213.72799999989</v>
      </c>
      <c r="M16" s="494">
        <f t="shared" si="4"/>
        <v>-3670699.5149999997</v>
      </c>
      <c r="N16" s="494">
        <f t="shared" si="5"/>
        <v>-1629834.4834391666</v>
      </c>
      <c r="O16" s="248"/>
      <c r="P16" s="470">
        <f t="shared" si="8"/>
        <v>-321559.55627831689</v>
      </c>
    </row>
    <row r="17" spans="1:16" x14ac:dyDescent="0.3">
      <c r="A17" s="489">
        <v>13</v>
      </c>
      <c r="B17" s="490">
        <f t="shared" si="9"/>
        <v>2031</v>
      </c>
      <c r="C17" s="421">
        <v>28254.1</v>
      </c>
      <c r="D17" s="491">
        <f t="shared" si="13"/>
        <v>10312746.5</v>
      </c>
      <c r="E17" s="483">
        <v>-0.7</v>
      </c>
      <c r="F17" s="491">
        <f t="shared" si="0"/>
        <v>-7218922.5499999998</v>
      </c>
      <c r="G17" s="492">
        <f t="shared" si="10"/>
        <v>-2959758.2454999997</v>
      </c>
      <c r="H17" s="464">
        <v>2965.9</v>
      </c>
      <c r="I17" s="491">
        <f t="shared" si="12"/>
        <v>1082553.5</v>
      </c>
      <c r="J17" s="483">
        <v>-0.7</v>
      </c>
      <c r="K17" s="493">
        <f t="shared" si="2"/>
        <v>-757787.45</v>
      </c>
      <c r="L17" s="494">
        <f t="shared" si="11"/>
        <v>-727475.95199999993</v>
      </c>
      <c r="M17" s="494">
        <f t="shared" si="4"/>
        <v>-3687234.1974999998</v>
      </c>
      <c r="N17" s="494">
        <f t="shared" si="5"/>
        <v>-1530071.1030013224</v>
      </c>
      <c r="O17" s="248"/>
      <c r="P17" s="470">
        <f t="shared" si="8"/>
        <v>-301876.65677386825</v>
      </c>
    </row>
    <row r="18" spans="1:16" x14ac:dyDescent="0.3">
      <c r="A18" s="489">
        <v>14</v>
      </c>
      <c r="B18" s="490">
        <f t="shared" si="9"/>
        <v>2032</v>
      </c>
      <c r="C18" s="421">
        <v>28389.85</v>
      </c>
      <c r="D18" s="491">
        <f t="shared" si="13"/>
        <v>10362295.25</v>
      </c>
      <c r="E18" s="483">
        <v>-0.7</v>
      </c>
      <c r="F18" s="491">
        <f t="shared" si="0"/>
        <v>-7253606.6749999998</v>
      </c>
      <c r="G18" s="492">
        <f t="shared" si="10"/>
        <v>-2973978.7367499997</v>
      </c>
      <c r="H18" s="464">
        <v>2980.15</v>
      </c>
      <c r="I18" s="491">
        <f t="shared" si="12"/>
        <v>1087754.75</v>
      </c>
      <c r="J18" s="483">
        <v>-0.7</v>
      </c>
      <c r="K18" s="493">
        <f t="shared" si="2"/>
        <v>-761428.32499999995</v>
      </c>
      <c r="L18" s="494">
        <f t="shared" si="11"/>
        <v>-730971.19199999992</v>
      </c>
      <c r="M18" s="494">
        <f t="shared" si="4"/>
        <v>-3704949.9287499995</v>
      </c>
      <c r="N18" s="494">
        <f t="shared" si="5"/>
        <v>-1436843.4594751592</v>
      </c>
      <c r="O18" s="248"/>
      <c r="P18" s="470">
        <f t="shared" si="8"/>
        <v>-283483.23094458523</v>
      </c>
    </row>
    <row r="19" spans="1:16" x14ac:dyDescent="0.3">
      <c r="A19" s="489">
        <v>15</v>
      </c>
      <c r="B19" s="490">
        <f t="shared" si="9"/>
        <v>2033</v>
      </c>
      <c r="C19" s="421">
        <v>28516.55</v>
      </c>
      <c r="D19" s="491">
        <f t="shared" si="13"/>
        <v>10408540.75</v>
      </c>
      <c r="E19" s="483">
        <v>-0.7</v>
      </c>
      <c r="F19" s="491">
        <f t="shared" si="0"/>
        <v>-7285978.5249999994</v>
      </c>
      <c r="G19" s="492">
        <f t="shared" si="10"/>
        <v>-2987251.1952499994</v>
      </c>
      <c r="H19" s="464">
        <v>2993.45</v>
      </c>
      <c r="I19" s="491">
        <f t="shared" si="12"/>
        <v>1092609.25</v>
      </c>
      <c r="J19" s="483">
        <v>-0.7</v>
      </c>
      <c r="K19" s="493">
        <f t="shared" si="2"/>
        <v>-764826.47499999998</v>
      </c>
      <c r="L19" s="494">
        <f t="shared" si="11"/>
        <v>-734233.41599999997</v>
      </c>
      <c r="M19" s="494">
        <f t="shared" si="4"/>
        <v>-3721484.6112499991</v>
      </c>
      <c r="N19" s="494">
        <f t="shared" si="5"/>
        <v>-1348837.2845078565</v>
      </c>
      <c r="O19" s="248"/>
      <c r="P19" s="470">
        <f t="shared" si="8"/>
        <v>-266119.97911761282</v>
      </c>
    </row>
    <row r="20" spans="1:16" x14ac:dyDescent="0.3">
      <c r="A20" s="489">
        <v>16</v>
      </c>
      <c r="B20" s="490">
        <f t="shared" si="9"/>
        <v>2034</v>
      </c>
      <c r="C20" s="421">
        <v>28652.3</v>
      </c>
      <c r="D20" s="491">
        <f t="shared" si="13"/>
        <v>10458089.5</v>
      </c>
      <c r="E20" s="483">
        <v>-0.7</v>
      </c>
      <c r="F20" s="491">
        <f t="shared" si="0"/>
        <v>-7320662.6499999994</v>
      </c>
      <c r="G20" s="492">
        <f t="shared" si="10"/>
        <v>-3001471.6864999994</v>
      </c>
      <c r="H20" s="464">
        <v>3007.7</v>
      </c>
      <c r="I20" s="491">
        <f t="shared" si="12"/>
        <v>1097810.5</v>
      </c>
      <c r="J20" s="483">
        <v>-0.7</v>
      </c>
      <c r="K20" s="493">
        <f t="shared" si="2"/>
        <v>-768467.35</v>
      </c>
      <c r="L20" s="494">
        <f t="shared" si="11"/>
        <v>-737728.65599999996</v>
      </c>
      <c r="M20" s="494">
        <f t="shared" si="4"/>
        <v>-3739200.3424999993</v>
      </c>
      <c r="N20" s="494">
        <f t="shared" si="5"/>
        <v>-1266596.5240976382</v>
      </c>
      <c r="O20" s="248"/>
      <c r="P20" s="470">
        <f t="shared" si="8"/>
        <v>-249894.2195731847</v>
      </c>
    </row>
    <row r="21" spans="1:16" x14ac:dyDescent="0.3">
      <c r="A21" s="489">
        <v>17</v>
      </c>
      <c r="B21" s="490">
        <f t="shared" si="9"/>
        <v>2035</v>
      </c>
      <c r="C21" s="421">
        <v>28779</v>
      </c>
      <c r="D21" s="491">
        <f t="shared" si="13"/>
        <v>10504335</v>
      </c>
      <c r="E21" s="483">
        <v>-0.7</v>
      </c>
      <c r="F21" s="491">
        <f t="shared" si="0"/>
        <v>-7353034.4999999991</v>
      </c>
      <c r="G21" s="492">
        <f t="shared" si="10"/>
        <v>-3014744.1449999996</v>
      </c>
      <c r="H21" s="464">
        <v>3021</v>
      </c>
      <c r="I21" s="491">
        <f t="shared" si="12"/>
        <v>1102665</v>
      </c>
      <c r="J21" s="483">
        <v>-0.7</v>
      </c>
      <c r="K21" s="493">
        <f t="shared" si="2"/>
        <v>-771865.5</v>
      </c>
      <c r="L21" s="494">
        <f t="shared" si="11"/>
        <v>-740990.88</v>
      </c>
      <c r="M21" s="494">
        <f t="shared" si="4"/>
        <v>-3755735.0249999994</v>
      </c>
      <c r="N21" s="494">
        <f t="shared" si="5"/>
        <v>-1188969.5262840844</v>
      </c>
      <c r="O21" s="248"/>
      <c r="P21" s="470">
        <f t="shared" si="8"/>
        <v>-234578.73617546458</v>
      </c>
    </row>
    <row r="22" spans="1:16" x14ac:dyDescent="0.3">
      <c r="A22" s="489">
        <v>18</v>
      </c>
      <c r="B22" s="490">
        <f t="shared" si="9"/>
        <v>2036</v>
      </c>
      <c r="C22" s="421">
        <v>28914.75</v>
      </c>
      <c r="D22" s="491">
        <f t="shared" si="13"/>
        <v>10553883.75</v>
      </c>
      <c r="E22" s="483">
        <v>-0.7</v>
      </c>
      <c r="F22" s="491">
        <f t="shared" si="0"/>
        <v>-7387718.6249999991</v>
      </c>
      <c r="G22" s="492">
        <f t="shared" si="10"/>
        <v>-3028964.6362499995</v>
      </c>
      <c r="H22" s="464">
        <v>3035.25</v>
      </c>
      <c r="I22" s="491">
        <f t="shared" si="12"/>
        <v>1107866.25</v>
      </c>
      <c r="J22" s="483">
        <v>-0.7</v>
      </c>
      <c r="K22" s="493">
        <f t="shared" si="2"/>
        <v>-775506.375</v>
      </c>
      <c r="L22" s="494">
        <f t="shared" si="11"/>
        <v>-744486.12</v>
      </c>
      <c r="M22" s="494">
        <f t="shared" si="4"/>
        <v>-3773450.7562499996</v>
      </c>
      <c r="N22" s="494">
        <f t="shared" si="5"/>
        <v>-1116427.9187908217</v>
      </c>
      <c r="O22" s="248"/>
      <c r="P22" s="470">
        <f t="shared" si="8"/>
        <v>-220266.57911027136</v>
      </c>
    </row>
    <row r="23" spans="1:16" x14ac:dyDescent="0.3">
      <c r="A23" s="489">
        <v>19</v>
      </c>
      <c r="B23" s="490">
        <f t="shared" si="9"/>
        <v>2037</v>
      </c>
      <c r="C23" s="421">
        <v>29041.45</v>
      </c>
      <c r="D23" s="491">
        <f t="shared" si="13"/>
        <v>10600129.25</v>
      </c>
      <c r="E23" s="483">
        <v>-0.7</v>
      </c>
      <c r="F23" s="491">
        <f t="shared" si="0"/>
        <v>-7420090.4749999996</v>
      </c>
      <c r="G23" s="492">
        <f t="shared" si="10"/>
        <v>-3042237.0947499997</v>
      </c>
      <c r="H23" s="464">
        <v>3048.55</v>
      </c>
      <c r="I23" s="491">
        <f t="shared" si="12"/>
        <v>1112720.75</v>
      </c>
      <c r="J23" s="483">
        <v>-0.7</v>
      </c>
      <c r="K23" s="493">
        <f t="shared" si="2"/>
        <v>-778904.52499999991</v>
      </c>
      <c r="L23" s="494">
        <f t="shared" si="11"/>
        <v>-747748.34399999992</v>
      </c>
      <c r="M23" s="494">
        <f t="shared" si="4"/>
        <v>-3789985.4387499997</v>
      </c>
      <c r="N23" s="494">
        <f t="shared" si="5"/>
        <v>-1047962.5558041176</v>
      </c>
      <c r="O23" s="248"/>
      <c r="P23" s="470">
        <f t="shared" si="8"/>
        <v>-206758.64811105575</v>
      </c>
    </row>
    <row r="24" spans="1:16" x14ac:dyDescent="0.3">
      <c r="A24" s="489">
        <v>20</v>
      </c>
      <c r="B24" s="490">
        <f t="shared" si="9"/>
        <v>2038</v>
      </c>
      <c r="C24" s="421">
        <v>29168.15</v>
      </c>
      <c r="D24" s="491">
        <f t="shared" si="13"/>
        <v>10646374.75</v>
      </c>
      <c r="E24" s="483">
        <v>-0.7</v>
      </c>
      <c r="F24" s="491">
        <f t="shared" si="0"/>
        <v>-7452462.3249999993</v>
      </c>
      <c r="G24" s="492">
        <f t="shared" si="10"/>
        <v>-3055509.5532499994</v>
      </c>
      <c r="H24" s="464">
        <v>3061.85</v>
      </c>
      <c r="I24" s="491">
        <f t="shared" si="12"/>
        <v>1117575.25</v>
      </c>
      <c r="J24" s="483">
        <v>-0.7</v>
      </c>
      <c r="K24" s="493">
        <f t="shared" si="2"/>
        <v>-782302.67499999993</v>
      </c>
      <c r="L24" s="494">
        <f t="shared" si="11"/>
        <v>-751010.56799999985</v>
      </c>
      <c r="M24" s="494">
        <f t="shared" si="4"/>
        <v>-3806520.1212499994</v>
      </c>
      <c r="N24" s="494">
        <f t="shared" si="5"/>
        <v>-983677.13392435142</v>
      </c>
      <c r="O24" s="248"/>
      <c r="P24" s="470">
        <f t="shared" si="8"/>
        <v>-194075.40208523709</v>
      </c>
    </row>
    <row r="25" spans="1:16" x14ac:dyDescent="0.3">
      <c r="A25" s="489">
        <v>21</v>
      </c>
      <c r="B25" s="490">
        <f t="shared" si="9"/>
        <v>2039</v>
      </c>
      <c r="C25" s="421">
        <v>29303.9</v>
      </c>
      <c r="D25" s="491">
        <f t="shared" si="13"/>
        <v>10695923.5</v>
      </c>
      <c r="E25" s="483">
        <v>-0.7</v>
      </c>
      <c r="F25" s="491">
        <f t="shared" si="0"/>
        <v>-7487146.4499999993</v>
      </c>
      <c r="G25" s="492">
        <f t="shared" si="10"/>
        <v>-3069730.0444999994</v>
      </c>
      <c r="H25" s="464">
        <v>3076.1</v>
      </c>
      <c r="I25" s="491">
        <f t="shared" si="12"/>
        <v>1122776.5</v>
      </c>
      <c r="J25" s="483">
        <v>-0.7</v>
      </c>
      <c r="K25" s="493">
        <f t="shared" si="2"/>
        <v>-785943.54999999993</v>
      </c>
      <c r="L25" s="494">
        <f t="shared" si="11"/>
        <v>-754505.80799999996</v>
      </c>
      <c r="M25" s="494">
        <f t="shared" si="4"/>
        <v>-3824235.8524999991</v>
      </c>
      <c r="N25" s="494">
        <f t="shared" si="5"/>
        <v>-923603.00516644376</v>
      </c>
      <c r="O25" s="248"/>
      <c r="P25" s="470">
        <f t="shared" si="8"/>
        <v>-182223.0266547965</v>
      </c>
    </row>
    <row r="26" spans="1:16" x14ac:dyDescent="0.3">
      <c r="A26" s="489">
        <v>22</v>
      </c>
      <c r="B26" s="490">
        <f t="shared" si="9"/>
        <v>2040</v>
      </c>
      <c r="C26" s="421">
        <v>29430.6</v>
      </c>
      <c r="D26" s="491">
        <f t="shared" si="13"/>
        <v>10742169</v>
      </c>
      <c r="E26" s="483">
        <v>-0.7</v>
      </c>
      <c r="F26" s="491">
        <f t="shared" si="0"/>
        <v>-7519518.2999999998</v>
      </c>
      <c r="G26" s="492">
        <f t="shared" si="10"/>
        <v>-3083002.5029999996</v>
      </c>
      <c r="H26" s="464">
        <v>3089.4</v>
      </c>
      <c r="I26" s="491">
        <f t="shared" si="12"/>
        <v>1127631</v>
      </c>
      <c r="J26" s="483">
        <v>-0.7</v>
      </c>
      <c r="K26" s="493">
        <f t="shared" si="2"/>
        <v>-789341.7</v>
      </c>
      <c r="L26" s="494">
        <f t="shared" si="11"/>
        <v>-757768.03199999989</v>
      </c>
      <c r="M26" s="494">
        <f t="shared" si="4"/>
        <v>-3840770.5349999992</v>
      </c>
      <c r="N26" s="494">
        <f t="shared" si="5"/>
        <v>-866912.47418253892</v>
      </c>
      <c r="O26" s="248"/>
      <c r="P26" s="470">
        <f t="shared" si="8"/>
        <v>-171038.22097446737</v>
      </c>
    </row>
    <row r="27" spans="1:16" x14ac:dyDescent="0.3">
      <c r="A27" s="489">
        <v>23</v>
      </c>
      <c r="B27" s="490">
        <f t="shared" si="9"/>
        <v>2041</v>
      </c>
      <c r="C27" s="421">
        <v>29566.35</v>
      </c>
      <c r="D27" s="491">
        <f t="shared" si="13"/>
        <v>10791717.75</v>
      </c>
      <c r="E27" s="483">
        <v>-0.7</v>
      </c>
      <c r="F27" s="491">
        <f t="shared" si="0"/>
        <v>-7554202.4249999998</v>
      </c>
      <c r="G27" s="492">
        <f t="shared" si="10"/>
        <v>-3097222.9942499995</v>
      </c>
      <c r="H27" s="464">
        <v>3103.65</v>
      </c>
      <c r="I27" s="491">
        <f t="shared" si="12"/>
        <v>1132832.25</v>
      </c>
      <c r="J27" s="483">
        <v>-0.7</v>
      </c>
      <c r="K27" s="493">
        <f t="shared" si="2"/>
        <v>-792982.57499999995</v>
      </c>
      <c r="L27" s="494">
        <f t="shared" si="11"/>
        <v>-761263.27199999988</v>
      </c>
      <c r="M27" s="494">
        <f t="shared" si="4"/>
        <v>-3858486.2662499994</v>
      </c>
      <c r="N27" s="494">
        <f t="shared" si="5"/>
        <v>-813935.65229574172</v>
      </c>
      <c r="O27" s="248"/>
      <c r="P27" s="470">
        <f t="shared" si="8"/>
        <v>-160586.11463357846</v>
      </c>
    </row>
    <row r="28" spans="1:16" x14ac:dyDescent="0.3">
      <c r="A28" s="489">
        <v>24</v>
      </c>
      <c r="B28" s="490">
        <f t="shared" si="9"/>
        <v>2042</v>
      </c>
      <c r="C28" s="421">
        <v>29693.05</v>
      </c>
      <c r="D28" s="491">
        <f t="shared" si="13"/>
        <v>10837963.25</v>
      </c>
      <c r="E28" s="483">
        <v>-0.7</v>
      </c>
      <c r="F28" s="491">
        <f t="shared" si="0"/>
        <v>-7586574.2749999994</v>
      </c>
      <c r="G28" s="492">
        <f t="shared" si="10"/>
        <v>-3110495.4527499997</v>
      </c>
      <c r="H28" s="464">
        <v>3116.95</v>
      </c>
      <c r="I28" s="491">
        <f t="shared" si="12"/>
        <v>1137686.75</v>
      </c>
      <c r="J28" s="483">
        <v>-0.7</v>
      </c>
      <c r="K28" s="493">
        <f t="shared" si="2"/>
        <v>-796380.72499999998</v>
      </c>
      <c r="L28" s="494">
        <f t="shared" si="11"/>
        <v>-764525.49599999993</v>
      </c>
      <c r="M28" s="494">
        <f t="shared" si="4"/>
        <v>-3875020.9487499995</v>
      </c>
      <c r="N28" s="494">
        <f t="shared" si="5"/>
        <v>-763947.28227684041</v>
      </c>
      <c r="O28" s="248"/>
      <c r="P28" s="470">
        <f t="shared" si="8"/>
        <v>-150723.617401077</v>
      </c>
    </row>
    <row r="29" spans="1:16" x14ac:dyDescent="0.3">
      <c r="A29" s="489">
        <v>25</v>
      </c>
      <c r="B29" s="490">
        <f t="shared" si="9"/>
        <v>2043</v>
      </c>
      <c r="C29" s="421">
        <v>29828.799999999999</v>
      </c>
      <c r="D29" s="491">
        <f t="shared" si="13"/>
        <v>10887512</v>
      </c>
      <c r="E29" s="483">
        <v>-0.7</v>
      </c>
      <c r="F29" s="491">
        <f t="shared" si="0"/>
        <v>-7621258.3999999994</v>
      </c>
      <c r="G29" s="492">
        <f t="shared" si="10"/>
        <v>-3124715.9439999997</v>
      </c>
      <c r="H29" s="464">
        <v>3131.2</v>
      </c>
      <c r="I29" s="491">
        <f t="shared" si="12"/>
        <v>1142888</v>
      </c>
      <c r="J29" s="483">
        <v>-0.7</v>
      </c>
      <c r="K29" s="493">
        <f t="shared" si="2"/>
        <v>-800021.6</v>
      </c>
      <c r="L29" s="494">
        <f t="shared" si="11"/>
        <v>-768020.73599999992</v>
      </c>
      <c r="M29" s="494">
        <f t="shared" si="4"/>
        <v>-3892736.6799999997</v>
      </c>
      <c r="N29" s="494">
        <f t="shared" si="5"/>
        <v>-717233.53160065343</v>
      </c>
      <c r="O29" s="248"/>
      <c r="P29" s="470">
        <f t="shared" si="8"/>
        <v>-141507.18892802508</v>
      </c>
    </row>
    <row r="30" spans="1:16" x14ac:dyDescent="0.3">
      <c r="A30" s="489">
        <v>26</v>
      </c>
      <c r="B30" s="490">
        <f t="shared" si="9"/>
        <v>2044</v>
      </c>
      <c r="C30" s="421">
        <v>29955.5</v>
      </c>
      <c r="D30" s="491">
        <f t="shared" si="13"/>
        <v>10933757.5</v>
      </c>
      <c r="E30" s="483">
        <v>-0.7</v>
      </c>
      <c r="F30" s="491">
        <f t="shared" si="0"/>
        <v>-7653630.2499999991</v>
      </c>
      <c r="G30" s="492">
        <f t="shared" si="10"/>
        <v>-3137988.4024999994</v>
      </c>
      <c r="H30" s="464">
        <v>3144.5</v>
      </c>
      <c r="I30" s="491">
        <f t="shared" si="12"/>
        <v>1147742.5</v>
      </c>
      <c r="J30" s="483">
        <v>-0.7</v>
      </c>
      <c r="K30" s="493">
        <f t="shared" si="2"/>
        <v>-803419.75</v>
      </c>
      <c r="L30" s="494">
        <f t="shared" si="11"/>
        <v>-771282.96</v>
      </c>
      <c r="M30" s="494">
        <f t="shared" si="4"/>
        <v>-3909271.3624999993</v>
      </c>
      <c r="N30" s="494">
        <f t="shared" si="5"/>
        <v>-673158.90958118672</v>
      </c>
      <c r="O30" s="248"/>
      <c r="P30" s="470">
        <f t="shared" si="8"/>
        <v>-132811.44954852189</v>
      </c>
    </row>
    <row r="31" spans="1:16" x14ac:dyDescent="0.3">
      <c r="A31" s="489">
        <v>27</v>
      </c>
      <c r="B31" s="490">
        <f t="shared" si="9"/>
        <v>2045</v>
      </c>
      <c r="C31" s="421">
        <v>30091.25</v>
      </c>
      <c r="D31" s="491">
        <f t="shared" si="13"/>
        <v>10983306.25</v>
      </c>
      <c r="E31" s="483">
        <v>-0.7</v>
      </c>
      <c r="F31" s="491">
        <f t="shared" si="0"/>
        <v>-7688314.3749999991</v>
      </c>
      <c r="G31" s="492">
        <f t="shared" si="10"/>
        <v>-3152208.8937499993</v>
      </c>
      <c r="H31" s="464">
        <v>3158.75</v>
      </c>
      <c r="I31" s="491">
        <f t="shared" si="12"/>
        <v>1152943.75</v>
      </c>
      <c r="J31" s="483">
        <v>-0.7</v>
      </c>
      <c r="K31" s="493">
        <f t="shared" si="2"/>
        <v>-807060.625</v>
      </c>
      <c r="L31" s="494">
        <f t="shared" si="11"/>
        <v>-774778.2</v>
      </c>
      <c r="M31" s="494">
        <f t="shared" si="4"/>
        <v>-3926987.0937499991</v>
      </c>
      <c r="N31" s="494">
        <f t="shared" si="5"/>
        <v>-631971.47538115748</v>
      </c>
      <c r="O31" s="248"/>
      <c r="P31" s="470">
        <f t="shared" si="8"/>
        <v>-124685.34030235061</v>
      </c>
    </row>
    <row r="32" spans="1:16" x14ac:dyDescent="0.3">
      <c r="A32" s="489">
        <v>28</v>
      </c>
      <c r="B32" s="490">
        <f t="shared" si="9"/>
        <v>2046</v>
      </c>
      <c r="C32" s="421">
        <v>30217.95</v>
      </c>
      <c r="D32" s="491">
        <f t="shared" si="13"/>
        <v>11029551.75</v>
      </c>
      <c r="E32" s="483">
        <v>-0.7</v>
      </c>
      <c r="F32" s="491">
        <f t="shared" si="0"/>
        <v>-7720686.2249999996</v>
      </c>
      <c r="G32" s="492">
        <f t="shared" si="10"/>
        <v>-3165481.3522499995</v>
      </c>
      <c r="H32" s="464">
        <v>3172.05</v>
      </c>
      <c r="I32" s="491">
        <f t="shared" si="12"/>
        <v>1157798.25</v>
      </c>
      <c r="J32" s="483">
        <v>-0.7</v>
      </c>
      <c r="K32" s="493">
        <f t="shared" si="2"/>
        <v>-810458.77499999991</v>
      </c>
      <c r="L32" s="494">
        <f t="shared" si="11"/>
        <v>-778040.42399999988</v>
      </c>
      <c r="M32" s="494">
        <f t="shared" si="4"/>
        <v>-3943521.7762499992</v>
      </c>
      <c r="N32" s="494">
        <f t="shared" si="5"/>
        <v>-593114.39991502638</v>
      </c>
      <c r="O32" s="248"/>
      <c r="P32" s="470">
        <f t="shared" si="8"/>
        <v>-117019.00112980079</v>
      </c>
    </row>
    <row r="33" spans="1:16" x14ac:dyDescent="0.3">
      <c r="A33" s="489">
        <v>29</v>
      </c>
      <c r="B33" s="490">
        <f t="shared" si="9"/>
        <v>2047</v>
      </c>
      <c r="C33" s="421">
        <v>30353.7</v>
      </c>
      <c r="D33" s="491">
        <f t="shared" si="13"/>
        <v>11079100.5</v>
      </c>
      <c r="E33" s="483">
        <v>-0.7</v>
      </c>
      <c r="F33" s="491">
        <f t="shared" si="0"/>
        <v>-7755370.3499999996</v>
      </c>
      <c r="G33" s="492">
        <f t="shared" si="10"/>
        <v>-3179701.8434999995</v>
      </c>
      <c r="H33" s="464">
        <v>3186.3</v>
      </c>
      <c r="I33" s="491">
        <f t="shared" si="12"/>
        <v>1162999.5</v>
      </c>
      <c r="J33" s="483">
        <v>-0.7</v>
      </c>
      <c r="K33" s="493">
        <f t="shared" si="2"/>
        <v>-814099.64999999991</v>
      </c>
      <c r="L33" s="494">
        <f t="shared" si="11"/>
        <v>-781535.66399999987</v>
      </c>
      <c r="M33" s="494">
        <f t="shared" si="4"/>
        <v>-3961237.5074999994</v>
      </c>
      <c r="N33" s="494">
        <f t="shared" si="5"/>
        <v>-556802.69634565129</v>
      </c>
      <c r="O33" s="248"/>
      <c r="P33" s="470">
        <f t="shared" si="8"/>
        <v>-109854.85323250058</v>
      </c>
    </row>
    <row r="34" spans="1:16" x14ac:dyDescent="0.3">
      <c r="A34" s="489">
        <f>1+A33</f>
        <v>30</v>
      </c>
      <c r="B34" s="490">
        <f t="shared" si="9"/>
        <v>2048</v>
      </c>
      <c r="C34" s="421">
        <v>30480.400000000001</v>
      </c>
      <c r="D34" s="491">
        <f t="shared" ref="D34:D35" si="14">C34*365</f>
        <v>11125346</v>
      </c>
      <c r="E34" s="483">
        <v>-0.7</v>
      </c>
      <c r="F34" s="491">
        <f t="shared" ref="F34:F35" si="15">D34*E34</f>
        <v>-7787742.1999999993</v>
      </c>
      <c r="G34" s="492">
        <f t="shared" si="10"/>
        <v>-3192974.3019999997</v>
      </c>
      <c r="H34" s="464">
        <v>3199.6</v>
      </c>
      <c r="I34" s="491">
        <f t="shared" ref="I34:I35" si="16">H34*365</f>
        <v>1167854</v>
      </c>
      <c r="J34" s="483">
        <v>-0.7</v>
      </c>
      <c r="K34" s="493">
        <f t="shared" ref="K34:K35" si="17">I34*J34</f>
        <v>-817497.79999999993</v>
      </c>
      <c r="L34" s="494">
        <f t="shared" si="11"/>
        <v>-784797.88799999992</v>
      </c>
      <c r="M34" s="494">
        <f t="shared" ref="M34:M35" si="18">G34+L34</f>
        <v>-3977772.1899999995</v>
      </c>
      <c r="N34" s="494">
        <f t="shared" ref="N34:N35" si="19">M34/(1+0.07)^A34</f>
        <v>-522548.46529799921</v>
      </c>
      <c r="O34" s="248"/>
      <c r="P34" s="470">
        <f t="shared" si="8"/>
        <v>-103096.63609557063</v>
      </c>
    </row>
    <row r="35" spans="1:16" ht="16.8" thickBot="1" x14ac:dyDescent="0.35">
      <c r="A35" s="497">
        <f>1+A34</f>
        <v>31</v>
      </c>
      <c r="B35" s="498">
        <f t="shared" si="9"/>
        <v>2049</v>
      </c>
      <c r="C35" s="421">
        <v>30480.400000000001</v>
      </c>
      <c r="D35" s="499">
        <f t="shared" si="14"/>
        <v>11125346</v>
      </c>
      <c r="E35" s="483">
        <v>-0.7</v>
      </c>
      <c r="F35" s="499">
        <f t="shared" si="15"/>
        <v>-7787742.1999999993</v>
      </c>
      <c r="G35" s="492">
        <f t="shared" si="10"/>
        <v>-3192974.3019999997</v>
      </c>
      <c r="H35" s="464">
        <v>3199.6</v>
      </c>
      <c r="I35" s="499">
        <f t="shared" si="16"/>
        <v>1167854</v>
      </c>
      <c r="J35" s="483">
        <v>-0.7</v>
      </c>
      <c r="K35" s="500">
        <f t="shared" si="17"/>
        <v>-817497.79999999993</v>
      </c>
      <c r="L35" s="494">
        <f t="shared" si="11"/>
        <v>-784797.88799999992</v>
      </c>
      <c r="M35" s="501">
        <f t="shared" si="18"/>
        <v>-3977772.1899999995</v>
      </c>
      <c r="N35" s="501">
        <f t="shared" si="19"/>
        <v>-488363.05168037297</v>
      </c>
      <c r="O35" s="248"/>
      <c r="P35" s="470">
        <f t="shared" si="8"/>
        <v>-96351.996351000576</v>
      </c>
    </row>
    <row r="36" spans="1:16" ht="16.8" thickBot="1" x14ac:dyDescent="0.35">
      <c r="A36" s="28" t="s">
        <v>40</v>
      </c>
      <c r="B36" s="249"/>
      <c r="C36" s="27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9">
        <f>SUM(N4:N35)</f>
        <v>-28982002.994262669</v>
      </c>
      <c r="O36" s="248"/>
      <c r="P36" s="475">
        <f>SUM(P4:P33)</f>
        <v>-5518579.8652857291</v>
      </c>
    </row>
    <row r="37" spans="1:16" x14ac:dyDescent="0.3">
      <c r="A37" s="248"/>
      <c r="B37" s="248"/>
      <c r="C37" s="502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</row>
    <row r="38" spans="1:16" x14ac:dyDescent="0.25">
      <c r="A38" s="587" t="s">
        <v>175</v>
      </c>
      <c r="B38" s="588"/>
      <c r="C38" s="588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9"/>
      <c r="O38" s="248"/>
      <c r="P38" s="191"/>
    </row>
    <row r="39" spans="1:16" x14ac:dyDescent="0.3">
      <c r="A39" s="503" t="s">
        <v>145</v>
      </c>
      <c r="B39" s="503" t="s">
        <v>146</v>
      </c>
      <c r="C39" s="503" t="s">
        <v>147</v>
      </c>
      <c r="D39" s="503" t="s">
        <v>148</v>
      </c>
      <c r="E39" s="503" t="s">
        <v>149</v>
      </c>
      <c r="F39" s="503" t="s">
        <v>150</v>
      </c>
      <c r="G39" s="503" t="s">
        <v>151</v>
      </c>
      <c r="H39" s="503" t="s">
        <v>152</v>
      </c>
      <c r="I39" s="503" t="s">
        <v>153</v>
      </c>
      <c r="J39" s="503" t="s">
        <v>154</v>
      </c>
      <c r="K39" s="503" t="s">
        <v>155</v>
      </c>
      <c r="L39" s="503" t="s">
        <v>88</v>
      </c>
      <c r="M39" s="503" t="s">
        <v>156</v>
      </c>
      <c r="N39" s="503" t="s">
        <v>157</v>
      </c>
      <c r="O39" s="248"/>
      <c r="P39" s="485" t="s">
        <v>160</v>
      </c>
    </row>
    <row r="40" spans="1:16" ht="43.2" x14ac:dyDescent="0.3">
      <c r="A40" s="504" t="s">
        <v>29</v>
      </c>
      <c r="B40" s="505" t="s">
        <v>30</v>
      </c>
      <c r="C40" s="506" t="s">
        <v>225</v>
      </c>
      <c r="D40" s="506" t="s">
        <v>256</v>
      </c>
      <c r="E40" s="506" t="s">
        <v>183</v>
      </c>
      <c r="F40" s="506" t="s">
        <v>184</v>
      </c>
      <c r="G40" s="505" t="s">
        <v>257</v>
      </c>
      <c r="H40" s="506" t="s">
        <v>226</v>
      </c>
      <c r="I40" s="506" t="s">
        <v>258</v>
      </c>
      <c r="J40" s="506" t="s">
        <v>183</v>
      </c>
      <c r="K40" s="506" t="s">
        <v>184</v>
      </c>
      <c r="L40" s="505" t="s">
        <v>259</v>
      </c>
      <c r="M40" s="504" t="s">
        <v>260</v>
      </c>
      <c r="N40" s="504" t="s">
        <v>32</v>
      </c>
      <c r="O40" s="248"/>
      <c r="P40" s="462" t="s">
        <v>173</v>
      </c>
    </row>
    <row r="41" spans="1:16" x14ac:dyDescent="0.3">
      <c r="A41" s="507">
        <v>0</v>
      </c>
      <c r="B41" s="508">
        <v>2018</v>
      </c>
      <c r="C41" s="421">
        <v>3451</v>
      </c>
      <c r="D41" s="509">
        <f>C41*365</f>
        <v>1259615</v>
      </c>
      <c r="E41" s="483">
        <v>0</v>
      </c>
      <c r="F41" s="509">
        <f t="shared" ref="F41:F72" si="20">D41*E41</f>
        <v>0</v>
      </c>
      <c r="G41" s="510">
        <f t="shared" ref="G41:G72" si="21">F41*0.41</f>
        <v>0</v>
      </c>
      <c r="H41" s="509">
        <v>609</v>
      </c>
      <c r="I41" s="509">
        <f>H41*365</f>
        <v>222285</v>
      </c>
      <c r="J41" s="483">
        <v>0</v>
      </c>
      <c r="K41" s="511">
        <f t="shared" ref="K41:K72" si="22">I41*J41</f>
        <v>0</v>
      </c>
      <c r="L41" s="512">
        <f t="shared" ref="L41:L72" si="23">K41*0.96</f>
        <v>0</v>
      </c>
      <c r="M41" s="512">
        <f t="shared" ref="M41:M72" si="24">G41+L41</f>
        <v>0</v>
      </c>
      <c r="N41" s="512">
        <f t="shared" ref="N41:N72" si="25">M41/(1+0.07)^A41</f>
        <v>0</v>
      </c>
      <c r="O41" s="248"/>
      <c r="P41" s="470">
        <f>L41/(1+0.07)^A41</f>
        <v>0</v>
      </c>
    </row>
    <row r="42" spans="1:16" x14ac:dyDescent="0.3">
      <c r="A42" s="507">
        <v>1</v>
      </c>
      <c r="B42" s="508">
        <f>1+B41</f>
        <v>2019</v>
      </c>
      <c r="C42" s="421">
        <v>3468</v>
      </c>
      <c r="D42" s="509">
        <f t="shared" ref="D42:D50" si="26">C42*365</f>
        <v>1265820</v>
      </c>
      <c r="E42" s="483">
        <v>0</v>
      </c>
      <c r="F42" s="509">
        <f t="shared" si="20"/>
        <v>0</v>
      </c>
      <c r="G42" s="510">
        <f t="shared" si="21"/>
        <v>0</v>
      </c>
      <c r="H42" s="509">
        <v>612</v>
      </c>
      <c r="I42" s="509">
        <f t="shared" ref="I42:I72" si="27">H42*365</f>
        <v>223380</v>
      </c>
      <c r="J42" s="483">
        <v>0</v>
      </c>
      <c r="K42" s="511">
        <f t="shared" si="22"/>
        <v>0</v>
      </c>
      <c r="L42" s="512">
        <f t="shared" si="23"/>
        <v>0</v>
      </c>
      <c r="M42" s="512">
        <f t="shared" si="24"/>
        <v>0</v>
      </c>
      <c r="N42" s="512">
        <f t="shared" si="25"/>
        <v>0</v>
      </c>
      <c r="O42" s="248"/>
      <c r="P42" s="470">
        <f t="shared" ref="P42:P72" si="28">L42/(1+0.07)^A42</f>
        <v>0</v>
      </c>
    </row>
    <row r="43" spans="1:16" x14ac:dyDescent="0.3">
      <c r="A43" s="507">
        <v>2</v>
      </c>
      <c r="B43" s="508">
        <f t="shared" ref="B43:B72" si="29">1+B42</f>
        <v>2020</v>
      </c>
      <c r="C43" s="421">
        <v>3485</v>
      </c>
      <c r="D43" s="509">
        <f t="shared" si="26"/>
        <v>1272025</v>
      </c>
      <c r="E43" s="483">
        <v>0</v>
      </c>
      <c r="F43" s="509">
        <f t="shared" si="20"/>
        <v>0</v>
      </c>
      <c r="G43" s="510">
        <f t="shared" si="21"/>
        <v>0</v>
      </c>
      <c r="H43" s="509">
        <v>615</v>
      </c>
      <c r="I43" s="509">
        <f t="shared" si="27"/>
        <v>224475</v>
      </c>
      <c r="J43" s="483">
        <v>0</v>
      </c>
      <c r="K43" s="511">
        <f t="shared" si="22"/>
        <v>0</v>
      </c>
      <c r="L43" s="512">
        <f t="shared" si="23"/>
        <v>0</v>
      </c>
      <c r="M43" s="512">
        <f t="shared" si="24"/>
        <v>0</v>
      </c>
      <c r="N43" s="512">
        <f t="shared" si="25"/>
        <v>0</v>
      </c>
      <c r="O43" s="248"/>
      <c r="P43" s="470">
        <f t="shared" si="28"/>
        <v>0</v>
      </c>
    </row>
    <row r="44" spans="1:16" x14ac:dyDescent="0.3">
      <c r="A44" s="507">
        <v>3</v>
      </c>
      <c r="B44" s="508">
        <f t="shared" si="29"/>
        <v>2021</v>
      </c>
      <c r="C44" s="421">
        <v>3502</v>
      </c>
      <c r="D44" s="509">
        <f t="shared" si="26"/>
        <v>1278230</v>
      </c>
      <c r="E44" s="483">
        <v>0</v>
      </c>
      <c r="F44" s="509">
        <f t="shared" si="20"/>
        <v>0</v>
      </c>
      <c r="G44" s="510">
        <f t="shared" si="21"/>
        <v>0</v>
      </c>
      <c r="H44" s="509">
        <v>618</v>
      </c>
      <c r="I44" s="509">
        <f t="shared" si="27"/>
        <v>225570</v>
      </c>
      <c r="J44" s="483">
        <v>0</v>
      </c>
      <c r="K44" s="511">
        <f t="shared" si="22"/>
        <v>0</v>
      </c>
      <c r="L44" s="512">
        <f t="shared" si="23"/>
        <v>0</v>
      </c>
      <c r="M44" s="512">
        <f t="shared" si="24"/>
        <v>0</v>
      </c>
      <c r="N44" s="512">
        <f t="shared" si="25"/>
        <v>0</v>
      </c>
      <c r="O44" s="248"/>
      <c r="P44" s="470">
        <f t="shared" si="28"/>
        <v>0</v>
      </c>
    </row>
    <row r="45" spans="1:16" x14ac:dyDescent="0.3">
      <c r="A45" s="507">
        <v>4</v>
      </c>
      <c r="B45" s="508">
        <f t="shared" si="29"/>
        <v>2022</v>
      </c>
      <c r="C45" s="421">
        <v>3519</v>
      </c>
      <c r="D45" s="509">
        <f t="shared" si="26"/>
        <v>1284435</v>
      </c>
      <c r="E45" s="483">
        <v>0</v>
      </c>
      <c r="F45" s="509">
        <f t="shared" si="20"/>
        <v>0</v>
      </c>
      <c r="G45" s="510">
        <f t="shared" si="21"/>
        <v>0</v>
      </c>
      <c r="H45" s="509">
        <v>621</v>
      </c>
      <c r="I45" s="509">
        <f t="shared" si="27"/>
        <v>226665</v>
      </c>
      <c r="J45" s="483">
        <v>0</v>
      </c>
      <c r="K45" s="511">
        <f t="shared" si="22"/>
        <v>0</v>
      </c>
      <c r="L45" s="512">
        <f t="shared" si="23"/>
        <v>0</v>
      </c>
      <c r="M45" s="512">
        <f t="shared" si="24"/>
        <v>0</v>
      </c>
      <c r="N45" s="512">
        <f t="shared" si="25"/>
        <v>0</v>
      </c>
      <c r="O45" s="248"/>
      <c r="P45" s="470">
        <f t="shared" si="28"/>
        <v>0</v>
      </c>
    </row>
    <row r="46" spans="1:16" x14ac:dyDescent="0.3">
      <c r="A46" s="507">
        <v>5</v>
      </c>
      <c r="B46" s="508">
        <f t="shared" si="29"/>
        <v>2023</v>
      </c>
      <c r="C46" s="421">
        <v>3536</v>
      </c>
      <c r="D46" s="509">
        <f t="shared" si="26"/>
        <v>1290640</v>
      </c>
      <c r="E46" s="483">
        <v>0</v>
      </c>
      <c r="F46" s="509">
        <f t="shared" si="20"/>
        <v>0</v>
      </c>
      <c r="G46" s="510">
        <f t="shared" si="21"/>
        <v>0</v>
      </c>
      <c r="H46" s="509">
        <v>624</v>
      </c>
      <c r="I46" s="509">
        <f t="shared" si="27"/>
        <v>227760</v>
      </c>
      <c r="J46" s="483">
        <v>0</v>
      </c>
      <c r="K46" s="511">
        <f t="shared" si="22"/>
        <v>0</v>
      </c>
      <c r="L46" s="512">
        <f t="shared" si="23"/>
        <v>0</v>
      </c>
      <c r="M46" s="512">
        <f t="shared" si="24"/>
        <v>0</v>
      </c>
      <c r="N46" s="512">
        <f t="shared" si="25"/>
        <v>0</v>
      </c>
      <c r="O46" s="248"/>
      <c r="P46" s="470">
        <f t="shared" si="28"/>
        <v>0</v>
      </c>
    </row>
    <row r="47" spans="1:16" x14ac:dyDescent="0.3">
      <c r="A47" s="507">
        <v>6</v>
      </c>
      <c r="B47" s="508">
        <f t="shared" si="29"/>
        <v>2024</v>
      </c>
      <c r="C47" s="421">
        <v>3553</v>
      </c>
      <c r="D47" s="509">
        <f t="shared" si="26"/>
        <v>1296845</v>
      </c>
      <c r="E47" s="483">
        <v>0</v>
      </c>
      <c r="F47" s="509">
        <f t="shared" si="20"/>
        <v>0</v>
      </c>
      <c r="G47" s="510">
        <f t="shared" si="21"/>
        <v>0</v>
      </c>
      <c r="H47" s="509">
        <v>627</v>
      </c>
      <c r="I47" s="509">
        <f t="shared" si="27"/>
        <v>228855</v>
      </c>
      <c r="J47" s="483">
        <v>0</v>
      </c>
      <c r="K47" s="511">
        <f t="shared" si="22"/>
        <v>0</v>
      </c>
      <c r="L47" s="512">
        <f t="shared" si="23"/>
        <v>0</v>
      </c>
      <c r="M47" s="512">
        <f t="shared" si="24"/>
        <v>0</v>
      </c>
      <c r="N47" s="512">
        <f t="shared" si="25"/>
        <v>0</v>
      </c>
      <c r="O47" s="248"/>
      <c r="P47" s="470">
        <f t="shared" si="28"/>
        <v>0</v>
      </c>
    </row>
    <row r="48" spans="1:16" x14ac:dyDescent="0.3">
      <c r="A48" s="507">
        <v>7</v>
      </c>
      <c r="B48" s="508">
        <f t="shared" si="29"/>
        <v>2025</v>
      </c>
      <c r="C48" s="421">
        <v>3570</v>
      </c>
      <c r="D48" s="509">
        <f t="shared" si="26"/>
        <v>1303050</v>
      </c>
      <c r="E48" s="513">
        <v>1.6</v>
      </c>
      <c r="F48" s="509">
        <f t="shared" si="20"/>
        <v>2084880</v>
      </c>
      <c r="G48" s="510">
        <f t="shared" si="21"/>
        <v>854800.79999999993</v>
      </c>
      <c r="H48" s="509">
        <v>630</v>
      </c>
      <c r="I48" s="509">
        <f t="shared" si="27"/>
        <v>229950</v>
      </c>
      <c r="J48" s="513">
        <v>1.6</v>
      </c>
      <c r="K48" s="511">
        <f t="shared" si="22"/>
        <v>367920</v>
      </c>
      <c r="L48" s="512">
        <f t="shared" si="23"/>
        <v>353203.20000000001</v>
      </c>
      <c r="M48" s="514">
        <f t="shared" si="24"/>
        <v>1208004</v>
      </c>
      <c r="N48" s="512">
        <f t="shared" si="25"/>
        <v>752284.17919555365</v>
      </c>
      <c r="O48" s="248"/>
      <c r="P48" s="470">
        <f t="shared" si="28"/>
        <v>219957.20163281163</v>
      </c>
    </row>
    <row r="49" spans="1:16" x14ac:dyDescent="0.3">
      <c r="A49" s="507">
        <v>8</v>
      </c>
      <c r="B49" s="508">
        <f t="shared" si="29"/>
        <v>2026</v>
      </c>
      <c r="C49" s="421">
        <v>3587</v>
      </c>
      <c r="D49" s="509">
        <f t="shared" si="26"/>
        <v>1309255</v>
      </c>
      <c r="E49" s="513">
        <v>1.6</v>
      </c>
      <c r="F49" s="509">
        <f t="shared" si="20"/>
        <v>2094808</v>
      </c>
      <c r="G49" s="510">
        <f t="shared" si="21"/>
        <v>858871.27999999991</v>
      </c>
      <c r="H49" s="509">
        <v>633</v>
      </c>
      <c r="I49" s="509">
        <f t="shared" si="27"/>
        <v>231045</v>
      </c>
      <c r="J49" s="513">
        <v>1.6</v>
      </c>
      <c r="K49" s="511">
        <f t="shared" si="22"/>
        <v>369672</v>
      </c>
      <c r="L49" s="512">
        <f t="shared" si="23"/>
        <v>354885.12</v>
      </c>
      <c r="M49" s="512">
        <f t="shared" si="24"/>
        <v>1213756.3999999999</v>
      </c>
      <c r="N49" s="512">
        <f t="shared" si="25"/>
        <v>706417.27552408457</v>
      </c>
      <c r="O49" s="248"/>
      <c r="P49" s="470">
        <f t="shared" si="28"/>
        <v>206546.3709146562</v>
      </c>
    </row>
    <row r="50" spans="1:16" x14ac:dyDescent="0.3">
      <c r="A50" s="507">
        <v>9</v>
      </c>
      <c r="B50" s="508">
        <f t="shared" si="29"/>
        <v>2027</v>
      </c>
      <c r="C50" s="421">
        <v>3604</v>
      </c>
      <c r="D50" s="509">
        <f t="shared" si="26"/>
        <v>1315460</v>
      </c>
      <c r="E50" s="513">
        <v>1.6</v>
      </c>
      <c r="F50" s="509">
        <f t="shared" si="20"/>
        <v>2104736</v>
      </c>
      <c r="G50" s="510">
        <f t="shared" si="21"/>
        <v>862941.75999999989</v>
      </c>
      <c r="H50" s="509">
        <v>636</v>
      </c>
      <c r="I50" s="509">
        <f t="shared" si="27"/>
        <v>232140</v>
      </c>
      <c r="J50" s="513">
        <v>1.6</v>
      </c>
      <c r="K50" s="511">
        <f t="shared" si="22"/>
        <v>371424</v>
      </c>
      <c r="L50" s="512">
        <f t="shared" si="23"/>
        <v>356567.03999999998</v>
      </c>
      <c r="M50" s="512">
        <f t="shared" si="24"/>
        <v>1219508.7999999998</v>
      </c>
      <c r="N50" s="512">
        <f t="shared" si="25"/>
        <v>663331.98569830309</v>
      </c>
      <c r="O50" s="248"/>
      <c r="P50" s="470">
        <f t="shared" si="28"/>
        <v>193948.8445493516</v>
      </c>
    </row>
    <row r="51" spans="1:16" x14ac:dyDescent="0.3">
      <c r="A51" s="507">
        <v>10</v>
      </c>
      <c r="B51" s="508">
        <f t="shared" si="29"/>
        <v>2028</v>
      </c>
      <c r="C51" s="421">
        <v>3621</v>
      </c>
      <c r="D51" s="509">
        <f>C51*365</f>
        <v>1321665</v>
      </c>
      <c r="E51" s="513">
        <v>1.6</v>
      </c>
      <c r="F51" s="509">
        <f t="shared" si="20"/>
        <v>2114664</v>
      </c>
      <c r="G51" s="510">
        <f t="shared" si="21"/>
        <v>867012.24</v>
      </c>
      <c r="H51" s="509">
        <v>639</v>
      </c>
      <c r="I51" s="509">
        <f t="shared" si="27"/>
        <v>233235</v>
      </c>
      <c r="J51" s="513">
        <v>1.6</v>
      </c>
      <c r="K51" s="511">
        <f t="shared" si="22"/>
        <v>373176</v>
      </c>
      <c r="L51" s="512">
        <f t="shared" si="23"/>
        <v>358248.95999999996</v>
      </c>
      <c r="M51" s="512">
        <f t="shared" si="24"/>
        <v>1225261.2</v>
      </c>
      <c r="N51" s="512">
        <f t="shared" si="25"/>
        <v>622860.66370013484</v>
      </c>
      <c r="O51" s="248"/>
      <c r="P51" s="470">
        <f t="shared" si="28"/>
        <v>182115.60522399881</v>
      </c>
    </row>
    <row r="52" spans="1:16" x14ac:dyDescent="0.3">
      <c r="A52" s="507">
        <v>11</v>
      </c>
      <c r="B52" s="508">
        <f t="shared" si="29"/>
        <v>2029</v>
      </c>
      <c r="C52" s="421">
        <v>3638</v>
      </c>
      <c r="D52" s="509">
        <f t="shared" ref="D52:D72" si="30">C52*365</f>
        <v>1327870</v>
      </c>
      <c r="E52" s="513">
        <v>1.6</v>
      </c>
      <c r="F52" s="509">
        <f t="shared" si="20"/>
        <v>2124592</v>
      </c>
      <c r="G52" s="510">
        <f t="shared" si="21"/>
        <v>871082.72</v>
      </c>
      <c r="H52" s="509">
        <v>642</v>
      </c>
      <c r="I52" s="509">
        <f t="shared" si="27"/>
        <v>234330</v>
      </c>
      <c r="J52" s="513">
        <v>1.6</v>
      </c>
      <c r="K52" s="511">
        <f t="shared" si="22"/>
        <v>374928</v>
      </c>
      <c r="L52" s="512">
        <f t="shared" si="23"/>
        <v>359930.88</v>
      </c>
      <c r="M52" s="512">
        <f t="shared" si="24"/>
        <v>1231013.6000000001</v>
      </c>
      <c r="N52" s="512">
        <f t="shared" si="25"/>
        <v>584845.69361515006</v>
      </c>
      <c r="O52" s="248"/>
      <c r="P52" s="470">
        <f t="shared" si="28"/>
        <v>171000.5682854449</v>
      </c>
    </row>
    <row r="53" spans="1:16" x14ac:dyDescent="0.3">
      <c r="A53" s="507">
        <v>12</v>
      </c>
      <c r="B53" s="508">
        <f t="shared" si="29"/>
        <v>2030</v>
      </c>
      <c r="C53" s="421">
        <v>3655</v>
      </c>
      <c r="D53" s="509">
        <f t="shared" si="30"/>
        <v>1334075</v>
      </c>
      <c r="E53" s="513">
        <v>1.6</v>
      </c>
      <c r="F53" s="509">
        <f t="shared" si="20"/>
        <v>2134520</v>
      </c>
      <c r="G53" s="510">
        <f t="shared" si="21"/>
        <v>875153.2</v>
      </c>
      <c r="H53" s="509">
        <v>645</v>
      </c>
      <c r="I53" s="509">
        <f t="shared" si="27"/>
        <v>235425</v>
      </c>
      <c r="J53" s="513">
        <v>1.6</v>
      </c>
      <c r="K53" s="511">
        <f t="shared" si="22"/>
        <v>376680</v>
      </c>
      <c r="L53" s="512">
        <f t="shared" si="23"/>
        <v>361612.79999999999</v>
      </c>
      <c r="M53" s="512">
        <f t="shared" si="24"/>
        <v>1236766</v>
      </c>
      <c r="N53" s="512">
        <f t="shared" si="25"/>
        <v>549138.89478232723</v>
      </c>
      <c r="O53" s="248"/>
      <c r="P53" s="470">
        <f t="shared" si="28"/>
        <v>160560.40781452815</v>
      </c>
    </row>
    <row r="54" spans="1:16" x14ac:dyDescent="0.3">
      <c r="A54" s="507">
        <v>13</v>
      </c>
      <c r="B54" s="508">
        <f t="shared" si="29"/>
        <v>2031</v>
      </c>
      <c r="C54" s="421">
        <v>3672</v>
      </c>
      <c r="D54" s="509">
        <f t="shared" si="30"/>
        <v>1340280</v>
      </c>
      <c r="E54" s="513">
        <v>1.6</v>
      </c>
      <c r="F54" s="509">
        <f t="shared" si="20"/>
        <v>2144448</v>
      </c>
      <c r="G54" s="510">
        <f t="shared" si="21"/>
        <v>879223.67999999993</v>
      </c>
      <c r="H54" s="509">
        <v>648</v>
      </c>
      <c r="I54" s="509">
        <f t="shared" si="27"/>
        <v>236520</v>
      </c>
      <c r="J54" s="513">
        <v>1.6</v>
      </c>
      <c r="K54" s="511">
        <f t="shared" si="22"/>
        <v>378432</v>
      </c>
      <c r="L54" s="512">
        <f t="shared" si="23"/>
        <v>363294.71999999997</v>
      </c>
      <c r="M54" s="512">
        <f t="shared" si="24"/>
        <v>1242518.3999999999</v>
      </c>
      <c r="N54" s="512">
        <f t="shared" si="25"/>
        <v>515600.96184734907</v>
      </c>
      <c r="O54" s="248"/>
      <c r="P54" s="470">
        <f t="shared" si="28"/>
        <v>150754.39290562086</v>
      </c>
    </row>
    <row r="55" spans="1:16" x14ac:dyDescent="0.3">
      <c r="A55" s="507">
        <v>14</v>
      </c>
      <c r="B55" s="508">
        <f t="shared" si="29"/>
        <v>2032</v>
      </c>
      <c r="C55" s="421">
        <v>3689</v>
      </c>
      <c r="D55" s="509">
        <f t="shared" si="30"/>
        <v>1346485</v>
      </c>
      <c r="E55" s="513">
        <v>1.6</v>
      </c>
      <c r="F55" s="509">
        <f t="shared" si="20"/>
        <v>2154376</v>
      </c>
      <c r="G55" s="510">
        <f t="shared" si="21"/>
        <v>883294.15999999992</v>
      </c>
      <c r="H55" s="509">
        <v>651</v>
      </c>
      <c r="I55" s="509">
        <f t="shared" si="27"/>
        <v>237615</v>
      </c>
      <c r="J55" s="513">
        <v>1.6</v>
      </c>
      <c r="K55" s="511">
        <f t="shared" si="22"/>
        <v>380184</v>
      </c>
      <c r="L55" s="512">
        <f t="shared" si="23"/>
        <v>364976.64000000001</v>
      </c>
      <c r="M55" s="512">
        <f t="shared" si="24"/>
        <v>1248270.7999999998</v>
      </c>
      <c r="N55" s="512">
        <f t="shared" si="25"/>
        <v>484100.93769848888</v>
      </c>
      <c r="O55" s="248"/>
      <c r="P55" s="470">
        <f t="shared" si="28"/>
        <v>141544.23356057343</v>
      </c>
    </row>
    <row r="56" spans="1:16" x14ac:dyDescent="0.3">
      <c r="A56" s="507">
        <v>15</v>
      </c>
      <c r="B56" s="508">
        <f t="shared" si="29"/>
        <v>2033</v>
      </c>
      <c r="C56" s="421">
        <v>3706</v>
      </c>
      <c r="D56" s="509">
        <f t="shared" si="30"/>
        <v>1352690</v>
      </c>
      <c r="E56" s="513">
        <v>1.6</v>
      </c>
      <c r="F56" s="509">
        <f t="shared" si="20"/>
        <v>2164304</v>
      </c>
      <c r="G56" s="510">
        <f t="shared" si="21"/>
        <v>887364.6399999999</v>
      </c>
      <c r="H56" s="509">
        <v>654</v>
      </c>
      <c r="I56" s="509">
        <f t="shared" si="27"/>
        <v>238710</v>
      </c>
      <c r="J56" s="513">
        <v>1.6</v>
      </c>
      <c r="K56" s="511">
        <f t="shared" si="22"/>
        <v>381936</v>
      </c>
      <c r="L56" s="512">
        <f t="shared" si="23"/>
        <v>366658.56</v>
      </c>
      <c r="M56" s="512">
        <f t="shared" si="24"/>
        <v>1254023.2</v>
      </c>
      <c r="N56" s="512">
        <f t="shared" si="25"/>
        <v>454515.71737917472</v>
      </c>
      <c r="O56" s="248"/>
      <c r="P56" s="470">
        <f t="shared" si="28"/>
        <v>132893.93563979931</v>
      </c>
    </row>
    <row r="57" spans="1:16" x14ac:dyDescent="0.3">
      <c r="A57" s="507">
        <v>16</v>
      </c>
      <c r="B57" s="508">
        <f t="shared" si="29"/>
        <v>2034</v>
      </c>
      <c r="C57" s="421">
        <v>3723</v>
      </c>
      <c r="D57" s="509">
        <f t="shared" si="30"/>
        <v>1358895</v>
      </c>
      <c r="E57" s="513">
        <v>1.6</v>
      </c>
      <c r="F57" s="509">
        <f t="shared" si="20"/>
        <v>2174232</v>
      </c>
      <c r="G57" s="510">
        <f t="shared" si="21"/>
        <v>891435.12</v>
      </c>
      <c r="H57" s="509">
        <v>657</v>
      </c>
      <c r="I57" s="509">
        <f t="shared" si="27"/>
        <v>239805</v>
      </c>
      <c r="J57" s="513">
        <v>1.6</v>
      </c>
      <c r="K57" s="511">
        <f t="shared" si="22"/>
        <v>383688</v>
      </c>
      <c r="L57" s="512">
        <f t="shared" si="23"/>
        <v>368340.47999999998</v>
      </c>
      <c r="M57" s="512">
        <f t="shared" si="24"/>
        <v>1259775.6000000001</v>
      </c>
      <c r="N57" s="512">
        <f t="shared" si="25"/>
        <v>426729.58117996779</v>
      </c>
      <c r="O57" s="248"/>
      <c r="P57" s="470">
        <f t="shared" si="28"/>
        <v>124769.66434500579</v>
      </c>
    </row>
    <row r="58" spans="1:16" x14ac:dyDescent="0.3">
      <c r="A58" s="507">
        <v>17</v>
      </c>
      <c r="B58" s="508">
        <f t="shared" si="29"/>
        <v>2035</v>
      </c>
      <c r="C58" s="421">
        <v>3748.5</v>
      </c>
      <c r="D58" s="509">
        <f t="shared" si="30"/>
        <v>1368202.5</v>
      </c>
      <c r="E58" s="513">
        <v>1.6</v>
      </c>
      <c r="F58" s="509">
        <f t="shared" si="20"/>
        <v>2189124</v>
      </c>
      <c r="G58" s="510">
        <f t="shared" si="21"/>
        <v>897540.84</v>
      </c>
      <c r="H58" s="509">
        <v>661.5</v>
      </c>
      <c r="I58" s="509">
        <f t="shared" si="27"/>
        <v>241447.5</v>
      </c>
      <c r="J58" s="513">
        <v>1.6</v>
      </c>
      <c r="K58" s="511">
        <f t="shared" si="22"/>
        <v>386316</v>
      </c>
      <c r="L58" s="512">
        <f t="shared" si="23"/>
        <v>370863.35999999999</v>
      </c>
      <c r="M58" s="512">
        <f t="shared" si="24"/>
        <v>1268404.2</v>
      </c>
      <c r="N58" s="512">
        <f t="shared" si="25"/>
        <v>401544.28647711728</v>
      </c>
      <c r="O58" s="248"/>
      <c r="P58" s="470">
        <f t="shared" si="28"/>
        <v>117405.84213747185</v>
      </c>
    </row>
    <row r="59" spans="1:16" x14ac:dyDescent="0.3">
      <c r="A59" s="507">
        <v>18</v>
      </c>
      <c r="B59" s="508">
        <f t="shared" si="29"/>
        <v>2036</v>
      </c>
      <c r="C59" s="421">
        <v>3765.5</v>
      </c>
      <c r="D59" s="509">
        <f t="shared" si="30"/>
        <v>1374407.5</v>
      </c>
      <c r="E59" s="513">
        <v>1.6</v>
      </c>
      <c r="F59" s="509">
        <f t="shared" si="20"/>
        <v>2199052</v>
      </c>
      <c r="G59" s="510">
        <f t="shared" si="21"/>
        <v>901611.32</v>
      </c>
      <c r="H59" s="509">
        <v>664.5</v>
      </c>
      <c r="I59" s="509">
        <f t="shared" si="27"/>
        <v>242542.5</v>
      </c>
      <c r="J59" s="513">
        <v>1.6</v>
      </c>
      <c r="K59" s="511">
        <f t="shared" si="22"/>
        <v>388068</v>
      </c>
      <c r="L59" s="512">
        <f t="shared" si="23"/>
        <v>372545.27999999997</v>
      </c>
      <c r="M59" s="512">
        <f t="shared" si="24"/>
        <v>1274156.5999999999</v>
      </c>
      <c r="N59" s="512">
        <f t="shared" si="25"/>
        <v>376976.96168301214</v>
      </c>
      <c r="O59" s="248"/>
      <c r="P59" s="470">
        <f t="shared" si="28"/>
        <v>110222.70554792639</v>
      </c>
    </row>
    <row r="60" spans="1:16" x14ac:dyDescent="0.3">
      <c r="A60" s="507">
        <v>19</v>
      </c>
      <c r="B60" s="508">
        <f t="shared" si="29"/>
        <v>2037</v>
      </c>
      <c r="C60" s="421">
        <v>3782.5</v>
      </c>
      <c r="D60" s="509">
        <f t="shared" si="30"/>
        <v>1380612.5</v>
      </c>
      <c r="E60" s="513">
        <v>1.6</v>
      </c>
      <c r="F60" s="509">
        <f t="shared" si="20"/>
        <v>2208980</v>
      </c>
      <c r="G60" s="510">
        <f t="shared" si="21"/>
        <v>905681.79999999993</v>
      </c>
      <c r="H60" s="509">
        <v>667.5</v>
      </c>
      <c r="I60" s="509">
        <f t="shared" si="27"/>
        <v>243637.5</v>
      </c>
      <c r="J60" s="513">
        <v>1.6</v>
      </c>
      <c r="K60" s="511">
        <f t="shared" si="22"/>
        <v>389820</v>
      </c>
      <c r="L60" s="512">
        <f t="shared" si="23"/>
        <v>374227.20000000001</v>
      </c>
      <c r="M60" s="512">
        <f t="shared" si="24"/>
        <v>1279909</v>
      </c>
      <c r="N60" s="512">
        <f t="shared" si="25"/>
        <v>353905.50399557059</v>
      </c>
      <c r="O60" s="248"/>
      <c r="P60" s="470">
        <f t="shared" si="28"/>
        <v>103476.93923931403</v>
      </c>
    </row>
    <row r="61" spans="1:16" x14ac:dyDescent="0.3">
      <c r="A61" s="507">
        <v>20</v>
      </c>
      <c r="B61" s="508">
        <f t="shared" si="29"/>
        <v>2038</v>
      </c>
      <c r="C61" s="421">
        <v>3799.5</v>
      </c>
      <c r="D61" s="509">
        <f t="shared" si="30"/>
        <v>1386817.5</v>
      </c>
      <c r="E61" s="513">
        <v>1.6</v>
      </c>
      <c r="F61" s="509">
        <f t="shared" si="20"/>
        <v>2218908</v>
      </c>
      <c r="G61" s="510">
        <f t="shared" si="21"/>
        <v>909752.27999999991</v>
      </c>
      <c r="H61" s="509">
        <v>670.5</v>
      </c>
      <c r="I61" s="509">
        <f t="shared" si="27"/>
        <v>244732.5</v>
      </c>
      <c r="J61" s="513">
        <v>1.6</v>
      </c>
      <c r="K61" s="511">
        <f t="shared" si="22"/>
        <v>391572</v>
      </c>
      <c r="L61" s="512">
        <f t="shared" si="23"/>
        <v>375909.12</v>
      </c>
      <c r="M61" s="512">
        <f t="shared" si="24"/>
        <v>1285661.3999999999</v>
      </c>
      <c r="N61" s="512">
        <f t="shared" si="25"/>
        <v>332239.33694428235</v>
      </c>
      <c r="O61" s="248"/>
      <c r="P61" s="470">
        <f t="shared" si="28"/>
        <v>97142.059939038911</v>
      </c>
    </row>
    <row r="62" spans="1:16" x14ac:dyDescent="0.3">
      <c r="A62" s="507">
        <v>21</v>
      </c>
      <c r="B62" s="508">
        <f t="shared" si="29"/>
        <v>2039</v>
      </c>
      <c r="C62" s="421">
        <v>3816.5</v>
      </c>
      <c r="D62" s="509">
        <f t="shared" si="30"/>
        <v>1393022.5</v>
      </c>
      <c r="E62" s="513">
        <v>1.6</v>
      </c>
      <c r="F62" s="509">
        <f t="shared" si="20"/>
        <v>2228836</v>
      </c>
      <c r="G62" s="510">
        <f t="shared" si="21"/>
        <v>913822.75999999989</v>
      </c>
      <c r="H62" s="509">
        <v>673.5</v>
      </c>
      <c r="I62" s="509">
        <f t="shared" si="27"/>
        <v>245827.5</v>
      </c>
      <c r="J62" s="513">
        <v>1.6</v>
      </c>
      <c r="K62" s="511">
        <f t="shared" si="22"/>
        <v>393324</v>
      </c>
      <c r="L62" s="512">
        <f t="shared" si="23"/>
        <v>377591.03999999998</v>
      </c>
      <c r="M62" s="512">
        <f t="shared" si="24"/>
        <v>1291413.7999999998</v>
      </c>
      <c r="N62" s="512">
        <f t="shared" si="25"/>
        <v>311893.33309912973</v>
      </c>
      <c r="O62" s="248"/>
      <c r="P62" s="470">
        <f t="shared" si="28"/>
        <v>91193.177596496826</v>
      </c>
    </row>
    <row r="63" spans="1:16" x14ac:dyDescent="0.3">
      <c r="A63" s="507">
        <v>22</v>
      </c>
      <c r="B63" s="508">
        <f t="shared" si="29"/>
        <v>2040</v>
      </c>
      <c r="C63" s="421">
        <v>3833.5</v>
      </c>
      <c r="D63" s="509">
        <f t="shared" si="30"/>
        <v>1399227.5</v>
      </c>
      <c r="E63" s="513">
        <v>1.6</v>
      </c>
      <c r="F63" s="509">
        <f t="shared" si="20"/>
        <v>2238764</v>
      </c>
      <c r="G63" s="510">
        <f t="shared" si="21"/>
        <v>917893.24</v>
      </c>
      <c r="H63" s="509">
        <v>676.5</v>
      </c>
      <c r="I63" s="509">
        <f t="shared" si="27"/>
        <v>246922.5</v>
      </c>
      <c r="J63" s="513">
        <v>1.6</v>
      </c>
      <c r="K63" s="511">
        <f t="shared" si="22"/>
        <v>395076</v>
      </c>
      <c r="L63" s="512">
        <f t="shared" si="23"/>
        <v>379272.95999999996</v>
      </c>
      <c r="M63" s="512">
        <f t="shared" si="24"/>
        <v>1297166.2</v>
      </c>
      <c r="N63" s="512">
        <f t="shared" si="25"/>
        <v>292787.48876570474</v>
      </c>
      <c r="O63" s="248"/>
      <c r="P63" s="470">
        <f t="shared" si="28"/>
        <v>85606.900268551224</v>
      </c>
    </row>
    <row r="64" spans="1:16" x14ac:dyDescent="0.3">
      <c r="A64" s="507">
        <v>23</v>
      </c>
      <c r="B64" s="508">
        <f t="shared" si="29"/>
        <v>2041</v>
      </c>
      <c r="C64" s="421">
        <v>3850.5</v>
      </c>
      <c r="D64" s="509">
        <f t="shared" si="30"/>
        <v>1405432.5</v>
      </c>
      <c r="E64" s="513">
        <v>1.6</v>
      </c>
      <c r="F64" s="509">
        <f t="shared" si="20"/>
        <v>2248692</v>
      </c>
      <c r="G64" s="510">
        <f t="shared" si="21"/>
        <v>921963.72</v>
      </c>
      <c r="H64" s="509">
        <v>679.5</v>
      </c>
      <c r="I64" s="509">
        <f t="shared" si="27"/>
        <v>248017.5</v>
      </c>
      <c r="J64" s="513">
        <v>1.6</v>
      </c>
      <c r="K64" s="511">
        <f t="shared" si="22"/>
        <v>396828</v>
      </c>
      <c r="L64" s="512">
        <f t="shared" si="23"/>
        <v>380954.88</v>
      </c>
      <c r="M64" s="512">
        <f t="shared" si="24"/>
        <v>1302918.6000000001</v>
      </c>
      <c r="N64" s="512">
        <f t="shared" si="25"/>
        <v>274846.61792250711</v>
      </c>
      <c r="O64" s="248"/>
      <c r="P64" s="470">
        <f t="shared" si="28"/>
        <v>80361.244631149282</v>
      </c>
    </row>
    <row r="65" spans="1:16" x14ac:dyDescent="0.3">
      <c r="A65" s="507">
        <v>24</v>
      </c>
      <c r="B65" s="508">
        <f t="shared" si="29"/>
        <v>2042</v>
      </c>
      <c r="C65" s="421">
        <v>3867.5</v>
      </c>
      <c r="D65" s="509">
        <f t="shared" si="30"/>
        <v>1411637.5</v>
      </c>
      <c r="E65" s="513">
        <v>1.6</v>
      </c>
      <c r="F65" s="509">
        <f t="shared" si="20"/>
        <v>2258620</v>
      </c>
      <c r="G65" s="510">
        <f t="shared" si="21"/>
        <v>926034.2</v>
      </c>
      <c r="H65" s="509">
        <v>682.5</v>
      </c>
      <c r="I65" s="509">
        <f t="shared" si="27"/>
        <v>249112.5</v>
      </c>
      <c r="J65" s="513">
        <v>1.6</v>
      </c>
      <c r="K65" s="511">
        <f t="shared" si="22"/>
        <v>398580</v>
      </c>
      <c r="L65" s="512">
        <f t="shared" si="23"/>
        <v>382636.79999999999</v>
      </c>
      <c r="M65" s="512">
        <f t="shared" si="24"/>
        <v>1308671</v>
      </c>
      <c r="N65" s="512">
        <f t="shared" si="25"/>
        <v>258000.06427501127</v>
      </c>
      <c r="O65" s="248"/>
      <c r="P65" s="470">
        <f t="shared" si="28"/>
        <v>75435.5517880236</v>
      </c>
    </row>
    <row r="66" spans="1:16" x14ac:dyDescent="0.3">
      <c r="A66" s="507">
        <v>25</v>
      </c>
      <c r="B66" s="508">
        <f t="shared" si="29"/>
        <v>2043</v>
      </c>
      <c r="C66" s="421">
        <v>3884.5</v>
      </c>
      <c r="D66" s="509">
        <f t="shared" si="30"/>
        <v>1417842.5</v>
      </c>
      <c r="E66" s="513">
        <v>1.6</v>
      </c>
      <c r="F66" s="509">
        <f t="shared" si="20"/>
        <v>2268548</v>
      </c>
      <c r="G66" s="510">
        <f t="shared" si="21"/>
        <v>930104.67999999993</v>
      </c>
      <c r="H66" s="509">
        <v>685.5</v>
      </c>
      <c r="I66" s="509">
        <f t="shared" si="27"/>
        <v>250207.5</v>
      </c>
      <c r="J66" s="513">
        <v>1.6</v>
      </c>
      <c r="K66" s="511">
        <f t="shared" si="22"/>
        <v>400332</v>
      </c>
      <c r="L66" s="512">
        <f t="shared" si="23"/>
        <v>384318.71999999997</v>
      </c>
      <c r="M66" s="512">
        <f t="shared" si="24"/>
        <v>1314423.3999999999</v>
      </c>
      <c r="N66" s="512">
        <f t="shared" si="25"/>
        <v>242181.4303659857</v>
      </c>
      <c r="O66" s="248"/>
      <c r="P66" s="470">
        <f t="shared" si="28"/>
        <v>70810.408066399876</v>
      </c>
    </row>
    <row r="67" spans="1:16" x14ac:dyDescent="0.3">
      <c r="A67" s="507">
        <v>26</v>
      </c>
      <c r="B67" s="508">
        <f t="shared" si="29"/>
        <v>2044</v>
      </c>
      <c r="C67" s="421">
        <v>3901.5</v>
      </c>
      <c r="D67" s="509">
        <f t="shared" si="30"/>
        <v>1424047.5</v>
      </c>
      <c r="E67" s="513">
        <v>1.6</v>
      </c>
      <c r="F67" s="509">
        <f t="shared" si="20"/>
        <v>2278476</v>
      </c>
      <c r="G67" s="510">
        <f t="shared" si="21"/>
        <v>934175.15999999992</v>
      </c>
      <c r="H67" s="509">
        <v>688.5</v>
      </c>
      <c r="I67" s="509">
        <f t="shared" si="27"/>
        <v>251302.5</v>
      </c>
      <c r="J67" s="513">
        <v>1.6</v>
      </c>
      <c r="K67" s="511">
        <f t="shared" si="22"/>
        <v>402084</v>
      </c>
      <c r="L67" s="512">
        <f t="shared" si="23"/>
        <v>386000.64000000001</v>
      </c>
      <c r="M67" s="512">
        <f t="shared" si="24"/>
        <v>1320175.7999999998</v>
      </c>
      <c r="N67" s="512">
        <f t="shared" si="25"/>
        <v>227328.32274277069</v>
      </c>
      <c r="O67" s="248"/>
      <c r="P67" s="470">
        <f t="shared" si="28"/>
        <v>66467.570507530938</v>
      </c>
    </row>
    <row r="68" spans="1:16" x14ac:dyDescent="0.3">
      <c r="A68" s="507">
        <v>27</v>
      </c>
      <c r="B68" s="508">
        <f t="shared" si="29"/>
        <v>2045</v>
      </c>
      <c r="C68" s="421">
        <v>3918.5</v>
      </c>
      <c r="D68" s="509">
        <f t="shared" si="30"/>
        <v>1430252.5</v>
      </c>
      <c r="E68" s="513">
        <v>1.6</v>
      </c>
      <c r="F68" s="509">
        <f t="shared" si="20"/>
        <v>2288404</v>
      </c>
      <c r="G68" s="510">
        <f t="shared" si="21"/>
        <v>938245.6399999999</v>
      </c>
      <c r="H68" s="509">
        <v>691.5</v>
      </c>
      <c r="I68" s="509">
        <f t="shared" si="27"/>
        <v>252397.5</v>
      </c>
      <c r="J68" s="513">
        <v>1.6</v>
      </c>
      <c r="K68" s="511">
        <f t="shared" si="22"/>
        <v>403836</v>
      </c>
      <c r="L68" s="512">
        <f t="shared" si="23"/>
        <v>387682.56</v>
      </c>
      <c r="M68" s="512">
        <f t="shared" si="24"/>
        <v>1325928.2</v>
      </c>
      <c r="N68" s="512">
        <f t="shared" si="25"/>
        <v>213382.11223997164</v>
      </c>
      <c r="O68" s="248"/>
      <c r="P68" s="470">
        <f t="shared" si="28"/>
        <v>62389.896776763286</v>
      </c>
    </row>
    <row r="69" spans="1:16" x14ac:dyDescent="0.3">
      <c r="A69" s="507">
        <v>28</v>
      </c>
      <c r="B69" s="508">
        <f t="shared" si="29"/>
        <v>2046</v>
      </c>
      <c r="C69" s="421">
        <v>3935.5</v>
      </c>
      <c r="D69" s="509">
        <f t="shared" si="30"/>
        <v>1436457.5</v>
      </c>
      <c r="E69" s="513">
        <v>1.6</v>
      </c>
      <c r="F69" s="509">
        <f t="shared" si="20"/>
        <v>2298332</v>
      </c>
      <c r="G69" s="510">
        <f t="shared" si="21"/>
        <v>942316.12</v>
      </c>
      <c r="H69" s="509">
        <v>694.5</v>
      </c>
      <c r="I69" s="509">
        <f t="shared" si="27"/>
        <v>253492.5</v>
      </c>
      <c r="J69" s="513">
        <v>1.6</v>
      </c>
      <c r="K69" s="511">
        <f t="shared" si="22"/>
        <v>405588</v>
      </c>
      <c r="L69" s="512">
        <f t="shared" si="23"/>
        <v>389364.47999999998</v>
      </c>
      <c r="M69" s="512">
        <f t="shared" si="24"/>
        <v>1331680.6000000001</v>
      </c>
      <c r="N69" s="512">
        <f t="shared" si="25"/>
        <v>200287.70849049589</v>
      </c>
      <c r="O69" s="248"/>
      <c r="P69" s="470">
        <f t="shared" si="28"/>
        <v>58561.279233769346</v>
      </c>
    </row>
    <row r="70" spans="1:16" x14ac:dyDescent="0.3">
      <c r="A70" s="507">
        <v>29</v>
      </c>
      <c r="B70" s="508">
        <f t="shared" si="29"/>
        <v>2047</v>
      </c>
      <c r="C70" s="421">
        <v>3952.5</v>
      </c>
      <c r="D70" s="509">
        <f t="shared" si="30"/>
        <v>1442662.5</v>
      </c>
      <c r="E70" s="513">
        <v>1.6</v>
      </c>
      <c r="F70" s="509">
        <f t="shared" si="20"/>
        <v>2308260</v>
      </c>
      <c r="G70" s="510">
        <f t="shared" si="21"/>
        <v>946386.6</v>
      </c>
      <c r="H70" s="509">
        <v>697.5</v>
      </c>
      <c r="I70" s="509">
        <f t="shared" si="27"/>
        <v>254587.5</v>
      </c>
      <c r="J70" s="513">
        <v>1.6</v>
      </c>
      <c r="K70" s="511">
        <f t="shared" si="22"/>
        <v>407340</v>
      </c>
      <c r="L70" s="512">
        <f t="shared" si="23"/>
        <v>391046.39999999997</v>
      </c>
      <c r="M70" s="512">
        <f t="shared" si="24"/>
        <v>1337433</v>
      </c>
      <c r="N70" s="512">
        <f t="shared" si="25"/>
        <v>187993.34782923351</v>
      </c>
      <c r="O70" s="248"/>
      <c r="P70" s="470">
        <f t="shared" si="28"/>
        <v>54966.582918598222</v>
      </c>
    </row>
    <row r="71" spans="1:16" x14ac:dyDescent="0.3">
      <c r="A71" s="507">
        <f>1+A70</f>
        <v>30</v>
      </c>
      <c r="B71" s="508">
        <f t="shared" si="29"/>
        <v>2048</v>
      </c>
      <c r="C71" s="421">
        <v>3969.5</v>
      </c>
      <c r="D71" s="509">
        <f t="shared" si="30"/>
        <v>1448867.5</v>
      </c>
      <c r="E71" s="513">
        <v>1.6</v>
      </c>
      <c r="F71" s="509">
        <f t="shared" si="20"/>
        <v>2318188</v>
      </c>
      <c r="G71" s="510">
        <f t="shared" si="21"/>
        <v>950457.08</v>
      </c>
      <c r="H71" s="509">
        <v>700.5</v>
      </c>
      <c r="I71" s="509">
        <f t="shared" si="27"/>
        <v>255682.5</v>
      </c>
      <c r="J71" s="513">
        <v>1.6</v>
      </c>
      <c r="K71" s="511">
        <f t="shared" si="22"/>
        <v>409092</v>
      </c>
      <c r="L71" s="512">
        <f t="shared" si="23"/>
        <v>392728.32000000001</v>
      </c>
      <c r="M71" s="512">
        <f t="shared" si="24"/>
        <v>1343185.4</v>
      </c>
      <c r="N71" s="512">
        <f t="shared" si="25"/>
        <v>176450.39380213455</v>
      </c>
      <c r="O71" s="248"/>
      <c r="P71" s="470">
        <f t="shared" si="28"/>
        <v>51591.587223365234</v>
      </c>
    </row>
    <row r="72" spans="1:16" ht="16.8" thickBot="1" x14ac:dyDescent="0.35">
      <c r="A72" s="515">
        <f>1+A71</f>
        <v>31</v>
      </c>
      <c r="B72" s="516">
        <f t="shared" si="29"/>
        <v>2049</v>
      </c>
      <c r="C72" s="517">
        <v>3969.5</v>
      </c>
      <c r="D72" s="518">
        <f t="shared" si="30"/>
        <v>1448867.5</v>
      </c>
      <c r="E72" s="519">
        <v>1.6</v>
      </c>
      <c r="F72" s="518">
        <f t="shared" si="20"/>
        <v>2318188</v>
      </c>
      <c r="G72" s="510">
        <f t="shared" si="21"/>
        <v>950457.08</v>
      </c>
      <c r="H72" s="518">
        <v>700.5</v>
      </c>
      <c r="I72" s="518">
        <f t="shared" si="27"/>
        <v>255682.5</v>
      </c>
      <c r="J72" s="519">
        <v>1.6</v>
      </c>
      <c r="K72" s="520">
        <f t="shared" si="22"/>
        <v>409092</v>
      </c>
      <c r="L72" s="512">
        <f t="shared" si="23"/>
        <v>392728.32000000001</v>
      </c>
      <c r="M72" s="521">
        <f t="shared" si="24"/>
        <v>1343185.4</v>
      </c>
      <c r="N72" s="521">
        <f t="shared" si="25"/>
        <v>164906.91009545283</v>
      </c>
      <c r="O72" s="248"/>
      <c r="P72" s="470">
        <f t="shared" si="28"/>
        <v>48216.436657350678</v>
      </c>
    </row>
    <row r="73" spans="1:16" ht="16.8" thickBot="1" x14ac:dyDescent="0.35">
      <c r="A73" s="148" t="s">
        <v>40</v>
      </c>
      <c r="B73" s="149"/>
      <c r="C73" s="27"/>
      <c r="D73" s="149"/>
      <c r="E73" s="149"/>
      <c r="F73" s="149"/>
      <c r="G73" s="149"/>
      <c r="H73" s="149"/>
      <c r="I73" s="149"/>
      <c r="J73" s="149"/>
      <c r="K73" s="149"/>
      <c r="L73" s="149"/>
      <c r="M73" s="149"/>
      <c r="N73" s="150">
        <f>SUM(N41:N72)</f>
        <v>9774549.7093489151</v>
      </c>
      <c r="O73" s="248"/>
      <c r="P73" s="475">
        <f>SUM(P41:P70)</f>
        <v>2758131.3835228248</v>
      </c>
    </row>
    <row r="75" spans="1:16" x14ac:dyDescent="0.25">
      <c r="A75" s="587" t="s">
        <v>176</v>
      </c>
      <c r="B75" s="588"/>
      <c r="C75" s="588"/>
      <c r="D75" s="588"/>
      <c r="E75" s="588"/>
      <c r="F75" s="588"/>
      <c r="G75" s="588"/>
      <c r="H75" s="588"/>
      <c r="I75" s="588"/>
      <c r="J75" s="588"/>
      <c r="K75" s="588"/>
      <c r="L75" s="588"/>
      <c r="M75" s="588"/>
      <c r="N75" s="589"/>
      <c r="O75" s="248"/>
      <c r="P75" s="191"/>
    </row>
    <row r="76" spans="1:16" x14ac:dyDescent="0.3">
      <c r="A76" s="503" t="s">
        <v>145</v>
      </c>
      <c r="B76" s="503" t="s">
        <v>146</v>
      </c>
      <c r="C76" s="503" t="s">
        <v>147</v>
      </c>
      <c r="D76" s="503" t="s">
        <v>148</v>
      </c>
      <c r="E76" s="503" t="s">
        <v>149</v>
      </c>
      <c r="F76" s="503" t="s">
        <v>150</v>
      </c>
      <c r="G76" s="503" t="s">
        <v>151</v>
      </c>
      <c r="H76" s="503" t="s">
        <v>152</v>
      </c>
      <c r="I76" s="503" t="s">
        <v>153</v>
      </c>
      <c r="J76" s="503" t="s">
        <v>154</v>
      </c>
      <c r="K76" s="503" t="s">
        <v>155</v>
      </c>
      <c r="L76" s="503" t="s">
        <v>88</v>
      </c>
      <c r="M76" s="503" t="s">
        <v>156</v>
      </c>
      <c r="N76" s="503" t="s">
        <v>157</v>
      </c>
      <c r="O76" s="248"/>
      <c r="P76" s="485" t="s">
        <v>160</v>
      </c>
    </row>
    <row r="77" spans="1:16" ht="43.2" x14ac:dyDescent="0.3">
      <c r="A77" s="504" t="s">
        <v>29</v>
      </c>
      <c r="B77" s="505" t="s">
        <v>30</v>
      </c>
      <c r="C77" s="506" t="s">
        <v>225</v>
      </c>
      <c r="D77" s="506" t="s">
        <v>256</v>
      </c>
      <c r="E77" s="506" t="s">
        <v>183</v>
      </c>
      <c r="F77" s="506" t="s">
        <v>184</v>
      </c>
      <c r="G77" s="505" t="s">
        <v>257</v>
      </c>
      <c r="H77" s="506" t="s">
        <v>226</v>
      </c>
      <c r="I77" s="506" t="s">
        <v>258</v>
      </c>
      <c r="J77" s="506" t="s">
        <v>183</v>
      </c>
      <c r="K77" s="506" t="s">
        <v>184</v>
      </c>
      <c r="L77" s="505" t="s">
        <v>259</v>
      </c>
      <c r="M77" s="504" t="s">
        <v>260</v>
      </c>
      <c r="N77" s="504" t="s">
        <v>32</v>
      </c>
      <c r="O77" s="248"/>
      <c r="P77" s="462" t="s">
        <v>173</v>
      </c>
    </row>
    <row r="78" spans="1:16" x14ac:dyDescent="0.3">
      <c r="A78" s="507">
        <v>0</v>
      </c>
      <c r="B78" s="508">
        <v>2018</v>
      </c>
      <c r="C78" s="421">
        <v>3126.2</v>
      </c>
      <c r="D78" s="509">
        <f>C78*365</f>
        <v>1141063</v>
      </c>
      <c r="E78" s="483">
        <v>0</v>
      </c>
      <c r="F78" s="509">
        <f t="shared" ref="F78:F109" si="31">D78*E78</f>
        <v>0</v>
      </c>
      <c r="G78" s="510">
        <f t="shared" ref="G78:G109" si="32">F78*0.41</f>
        <v>0</v>
      </c>
      <c r="H78" s="464">
        <v>933.80000000000007</v>
      </c>
      <c r="I78" s="509">
        <f>H78*365</f>
        <v>340837</v>
      </c>
      <c r="J78" s="483">
        <v>0</v>
      </c>
      <c r="K78" s="511">
        <f t="shared" ref="K78:K109" si="33">I78*J78</f>
        <v>0</v>
      </c>
      <c r="L78" s="512">
        <f t="shared" ref="L78:L109" si="34">K78*0.96</f>
        <v>0</v>
      </c>
      <c r="M78" s="512">
        <f t="shared" ref="M78:M109" si="35">G78+L78</f>
        <v>0</v>
      </c>
      <c r="N78" s="512">
        <f t="shared" ref="N78:N109" si="36">M78/(1+0.07)^A78</f>
        <v>0</v>
      </c>
      <c r="O78" s="248"/>
      <c r="P78" s="470">
        <f>L78/(1+0.07)^A78</f>
        <v>0</v>
      </c>
    </row>
    <row r="79" spans="1:16" x14ac:dyDescent="0.3">
      <c r="A79" s="507">
        <v>1</v>
      </c>
      <c r="B79" s="508">
        <f>1+B78</f>
        <v>2019</v>
      </c>
      <c r="C79" s="421">
        <v>3141.6</v>
      </c>
      <c r="D79" s="509">
        <f t="shared" ref="D79:D87" si="37">C79*365</f>
        <v>1146684</v>
      </c>
      <c r="E79" s="483">
        <v>0</v>
      </c>
      <c r="F79" s="509">
        <f t="shared" si="31"/>
        <v>0</v>
      </c>
      <c r="G79" s="510">
        <f t="shared" si="32"/>
        <v>0</v>
      </c>
      <c r="H79" s="464">
        <v>938.40000000000009</v>
      </c>
      <c r="I79" s="509">
        <f t="shared" ref="I79:I109" si="38">H79*365</f>
        <v>342516.00000000006</v>
      </c>
      <c r="J79" s="483">
        <v>0</v>
      </c>
      <c r="K79" s="511">
        <f t="shared" si="33"/>
        <v>0</v>
      </c>
      <c r="L79" s="512">
        <f t="shared" si="34"/>
        <v>0</v>
      </c>
      <c r="M79" s="512">
        <f t="shared" si="35"/>
        <v>0</v>
      </c>
      <c r="N79" s="512">
        <f t="shared" si="36"/>
        <v>0</v>
      </c>
      <c r="O79" s="248"/>
      <c r="P79" s="470">
        <f t="shared" ref="P79:P109" si="39">L79/(1+0.07)^A79</f>
        <v>0</v>
      </c>
    </row>
    <row r="80" spans="1:16" x14ac:dyDescent="0.3">
      <c r="A80" s="507">
        <v>2</v>
      </c>
      <c r="B80" s="508">
        <f t="shared" ref="B80:B109" si="40">1+B79</f>
        <v>2020</v>
      </c>
      <c r="C80" s="421">
        <v>3157</v>
      </c>
      <c r="D80" s="509">
        <f t="shared" si="37"/>
        <v>1152305</v>
      </c>
      <c r="E80" s="483">
        <v>0</v>
      </c>
      <c r="F80" s="509">
        <f t="shared" si="31"/>
        <v>0</v>
      </c>
      <c r="G80" s="510">
        <f t="shared" si="32"/>
        <v>0</v>
      </c>
      <c r="H80" s="464">
        <v>943</v>
      </c>
      <c r="I80" s="509">
        <f t="shared" si="38"/>
        <v>344195</v>
      </c>
      <c r="J80" s="483">
        <v>0</v>
      </c>
      <c r="K80" s="511">
        <f t="shared" si="33"/>
        <v>0</v>
      </c>
      <c r="L80" s="512">
        <f t="shared" si="34"/>
        <v>0</v>
      </c>
      <c r="M80" s="512">
        <f t="shared" si="35"/>
        <v>0</v>
      </c>
      <c r="N80" s="512">
        <f t="shared" si="36"/>
        <v>0</v>
      </c>
      <c r="O80" s="248"/>
      <c r="P80" s="470">
        <f t="shared" si="39"/>
        <v>0</v>
      </c>
    </row>
    <row r="81" spans="1:16" x14ac:dyDescent="0.3">
      <c r="A81" s="507">
        <v>3</v>
      </c>
      <c r="B81" s="508">
        <f t="shared" si="40"/>
        <v>2021</v>
      </c>
      <c r="C81" s="421">
        <v>3172.4</v>
      </c>
      <c r="D81" s="509">
        <f t="shared" si="37"/>
        <v>1157926</v>
      </c>
      <c r="E81" s="483">
        <v>0</v>
      </c>
      <c r="F81" s="509">
        <f t="shared" si="31"/>
        <v>0</v>
      </c>
      <c r="G81" s="510">
        <f t="shared" si="32"/>
        <v>0</v>
      </c>
      <c r="H81" s="464">
        <v>947.6</v>
      </c>
      <c r="I81" s="509">
        <f t="shared" si="38"/>
        <v>345874</v>
      </c>
      <c r="J81" s="483">
        <v>0</v>
      </c>
      <c r="K81" s="511">
        <f t="shared" si="33"/>
        <v>0</v>
      </c>
      <c r="L81" s="512">
        <f t="shared" si="34"/>
        <v>0</v>
      </c>
      <c r="M81" s="512">
        <f t="shared" si="35"/>
        <v>0</v>
      </c>
      <c r="N81" s="512">
        <f t="shared" si="36"/>
        <v>0</v>
      </c>
      <c r="O81" s="248"/>
      <c r="P81" s="470">
        <f t="shared" si="39"/>
        <v>0</v>
      </c>
    </row>
    <row r="82" spans="1:16" x14ac:dyDescent="0.3">
      <c r="A82" s="507">
        <v>4</v>
      </c>
      <c r="B82" s="508">
        <f t="shared" si="40"/>
        <v>2022</v>
      </c>
      <c r="C82" s="421">
        <v>3187.8</v>
      </c>
      <c r="D82" s="509">
        <f t="shared" si="37"/>
        <v>1163547</v>
      </c>
      <c r="E82" s="483">
        <v>0</v>
      </c>
      <c r="F82" s="509">
        <f t="shared" si="31"/>
        <v>0</v>
      </c>
      <c r="G82" s="510">
        <f t="shared" si="32"/>
        <v>0</v>
      </c>
      <c r="H82" s="464">
        <v>952.2</v>
      </c>
      <c r="I82" s="509">
        <f t="shared" si="38"/>
        <v>347553</v>
      </c>
      <c r="J82" s="483">
        <v>0</v>
      </c>
      <c r="K82" s="511">
        <f t="shared" si="33"/>
        <v>0</v>
      </c>
      <c r="L82" s="512">
        <f t="shared" si="34"/>
        <v>0</v>
      </c>
      <c r="M82" s="512">
        <f t="shared" si="35"/>
        <v>0</v>
      </c>
      <c r="N82" s="512">
        <f t="shared" si="36"/>
        <v>0</v>
      </c>
      <c r="O82" s="248"/>
      <c r="P82" s="470">
        <f t="shared" si="39"/>
        <v>0</v>
      </c>
    </row>
    <row r="83" spans="1:16" x14ac:dyDescent="0.3">
      <c r="A83" s="507">
        <v>5</v>
      </c>
      <c r="B83" s="508">
        <f t="shared" si="40"/>
        <v>2023</v>
      </c>
      <c r="C83" s="421">
        <v>3203.2</v>
      </c>
      <c r="D83" s="509">
        <f t="shared" si="37"/>
        <v>1169168</v>
      </c>
      <c r="E83" s="483">
        <v>0</v>
      </c>
      <c r="F83" s="509">
        <f t="shared" si="31"/>
        <v>0</v>
      </c>
      <c r="G83" s="510">
        <f t="shared" si="32"/>
        <v>0</v>
      </c>
      <c r="H83" s="464">
        <v>956.80000000000007</v>
      </c>
      <c r="I83" s="509">
        <f t="shared" si="38"/>
        <v>349232</v>
      </c>
      <c r="J83" s="483">
        <v>0</v>
      </c>
      <c r="K83" s="511">
        <f t="shared" si="33"/>
        <v>0</v>
      </c>
      <c r="L83" s="512">
        <f t="shared" si="34"/>
        <v>0</v>
      </c>
      <c r="M83" s="512">
        <f t="shared" si="35"/>
        <v>0</v>
      </c>
      <c r="N83" s="512">
        <f t="shared" si="36"/>
        <v>0</v>
      </c>
      <c r="O83" s="248"/>
      <c r="P83" s="470">
        <f t="shared" si="39"/>
        <v>0</v>
      </c>
    </row>
    <row r="84" spans="1:16" x14ac:dyDescent="0.3">
      <c r="A84" s="507">
        <v>6</v>
      </c>
      <c r="B84" s="508">
        <f t="shared" si="40"/>
        <v>2024</v>
      </c>
      <c r="C84" s="421">
        <v>3218.6</v>
      </c>
      <c r="D84" s="509">
        <f t="shared" si="37"/>
        <v>1174789</v>
      </c>
      <c r="E84" s="483">
        <v>0</v>
      </c>
      <c r="F84" s="509">
        <f t="shared" si="31"/>
        <v>0</v>
      </c>
      <c r="G84" s="510">
        <f t="shared" si="32"/>
        <v>0</v>
      </c>
      <c r="H84" s="464">
        <v>961.40000000000009</v>
      </c>
      <c r="I84" s="509">
        <f t="shared" si="38"/>
        <v>350911.00000000006</v>
      </c>
      <c r="J84" s="483">
        <v>0</v>
      </c>
      <c r="K84" s="511">
        <f t="shared" si="33"/>
        <v>0</v>
      </c>
      <c r="L84" s="512">
        <f t="shared" si="34"/>
        <v>0</v>
      </c>
      <c r="M84" s="512">
        <f t="shared" si="35"/>
        <v>0</v>
      </c>
      <c r="N84" s="512">
        <f t="shared" si="36"/>
        <v>0</v>
      </c>
      <c r="O84" s="248"/>
      <c r="P84" s="470">
        <f t="shared" si="39"/>
        <v>0</v>
      </c>
    </row>
    <row r="85" spans="1:16" x14ac:dyDescent="0.3">
      <c r="A85" s="507">
        <v>7</v>
      </c>
      <c r="B85" s="508">
        <f t="shared" si="40"/>
        <v>2025</v>
      </c>
      <c r="C85" s="421">
        <v>3234</v>
      </c>
      <c r="D85" s="509">
        <f t="shared" si="37"/>
        <v>1180410</v>
      </c>
      <c r="E85" s="513">
        <v>2.2000000000000002</v>
      </c>
      <c r="F85" s="509">
        <f t="shared" si="31"/>
        <v>2596902</v>
      </c>
      <c r="G85" s="510">
        <f t="shared" si="32"/>
        <v>1064729.8199999998</v>
      </c>
      <c r="H85" s="464">
        <v>966</v>
      </c>
      <c r="I85" s="509">
        <f t="shared" si="38"/>
        <v>352590</v>
      </c>
      <c r="J85" s="513">
        <v>2.2000000000000002</v>
      </c>
      <c r="K85" s="511">
        <f t="shared" si="33"/>
        <v>775698.00000000012</v>
      </c>
      <c r="L85" s="512">
        <f t="shared" si="34"/>
        <v>744670.08000000007</v>
      </c>
      <c r="M85" s="514">
        <f t="shared" si="35"/>
        <v>1809399.9</v>
      </c>
      <c r="N85" s="512">
        <f t="shared" si="36"/>
        <v>1126803.3206910049</v>
      </c>
      <c r="O85" s="248"/>
      <c r="P85" s="470">
        <f t="shared" si="39"/>
        <v>463743.10010917787</v>
      </c>
    </row>
    <row r="86" spans="1:16" x14ac:dyDescent="0.3">
      <c r="A86" s="507">
        <v>8</v>
      </c>
      <c r="B86" s="508">
        <f t="shared" si="40"/>
        <v>2026</v>
      </c>
      <c r="C86" s="421">
        <v>3249.4</v>
      </c>
      <c r="D86" s="509">
        <f t="shared" si="37"/>
        <v>1186031</v>
      </c>
      <c r="E86" s="513">
        <v>2.2000000000000002</v>
      </c>
      <c r="F86" s="509">
        <f t="shared" si="31"/>
        <v>2609268.2000000002</v>
      </c>
      <c r="G86" s="510">
        <f t="shared" si="32"/>
        <v>1069799.9620000001</v>
      </c>
      <c r="H86" s="464">
        <v>970.6</v>
      </c>
      <c r="I86" s="509">
        <f t="shared" si="38"/>
        <v>354269</v>
      </c>
      <c r="J86" s="513">
        <v>2.2000000000000002</v>
      </c>
      <c r="K86" s="511">
        <f t="shared" si="33"/>
        <v>779391.8</v>
      </c>
      <c r="L86" s="512">
        <f t="shared" si="34"/>
        <v>748216.12800000003</v>
      </c>
      <c r="M86" s="512">
        <f t="shared" si="35"/>
        <v>1818016.09</v>
      </c>
      <c r="N86" s="512">
        <f t="shared" si="36"/>
        <v>1058101.9166257323</v>
      </c>
      <c r="O86" s="248"/>
      <c r="P86" s="470">
        <f t="shared" si="39"/>
        <v>435468.59867840022</v>
      </c>
    </row>
    <row r="87" spans="1:16" x14ac:dyDescent="0.3">
      <c r="A87" s="507">
        <v>9</v>
      </c>
      <c r="B87" s="508">
        <f t="shared" si="40"/>
        <v>2027</v>
      </c>
      <c r="C87" s="421">
        <v>3264.8</v>
      </c>
      <c r="D87" s="509">
        <f t="shared" si="37"/>
        <v>1191652</v>
      </c>
      <c r="E87" s="513">
        <v>2.2000000000000002</v>
      </c>
      <c r="F87" s="509">
        <f t="shared" si="31"/>
        <v>2621634.4000000004</v>
      </c>
      <c r="G87" s="510">
        <f t="shared" si="32"/>
        <v>1074870.1040000001</v>
      </c>
      <c r="H87" s="464">
        <v>975.2</v>
      </c>
      <c r="I87" s="509">
        <f t="shared" si="38"/>
        <v>355948</v>
      </c>
      <c r="J87" s="513">
        <v>2.2000000000000002</v>
      </c>
      <c r="K87" s="511">
        <f t="shared" si="33"/>
        <v>783085.60000000009</v>
      </c>
      <c r="L87" s="512">
        <f t="shared" si="34"/>
        <v>751762.17600000009</v>
      </c>
      <c r="M87" s="512">
        <f t="shared" si="35"/>
        <v>1826632.2800000003</v>
      </c>
      <c r="N87" s="512">
        <f t="shared" si="36"/>
        <v>993566.93238541554</v>
      </c>
      <c r="O87" s="248"/>
      <c r="P87" s="470">
        <f t="shared" si="39"/>
        <v>408908.81392488303</v>
      </c>
    </row>
    <row r="88" spans="1:16" x14ac:dyDescent="0.3">
      <c r="A88" s="507">
        <v>10</v>
      </c>
      <c r="B88" s="508">
        <f t="shared" si="40"/>
        <v>2028</v>
      </c>
      <c r="C88" s="421">
        <v>3280.2</v>
      </c>
      <c r="D88" s="509">
        <f>C88*365</f>
        <v>1197273</v>
      </c>
      <c r="E88" s="513">
        <v>2.2000000000000002</v>
      </c>
      <c r="F88" s="509">
        <f t="shared" si="31"/>
        <v>2634000.6</v>
      </c>
      <c r="G88" s="510">
        <f t="shared" si="32"/>
        <v>1079940.246</v>
      </c>
      <c r="H88" s="464">
        <v>979.80000000000007</v>
      </c>
      <c r="I88" s="509">
        <f t="shared" si="38"/>
        <v>357627</v>
      </c>
      <c r="J88" s="513">
        <v>2.2000000000000002</v>
      </c>
      <c r="K88" s="511">
        <f t="shared" si="33"/>
        <v>786779.4</v>
      </c>
      <c r="L88" s="512">
        <f t="shared" si="34"/>
        <v>755308.22400000005</v>
      </c>
      <c r="M88" s="512">
        <f t="shared" si="35"/>
        <v>1835248.4700000002</v>
      </c>
      <c r="N88" s="512">
        <f t="shared" si="36"/>
        <v>932947.26061582402</v>
      </c>
      <c r="O88" s="248"/>
      <c r="P88" s="470">
        <f t="shared" si="39"/>
        <v>383960.40101393091</v>
      </c>
    </row>
    <row r="89" spans="1:16" x14ac:dyDescent="0.3">
      <c r="A89" s="507">
        <v>11</v>
      </c>
      <c r="B89" s="508">
        <f t="shared" si="40"/>
        <v>2029</v>
      </c>
      <c r="C89" s="421">
        <v>3295.6</v>
      </c>
      <c r="D89" s="509">
        <f t="shared" ref="D89:D109" si="41">C89*365</f>
        <v>1202894</v>
      </c>
      <c r="E89" s="513">
        <v>2.2000000000000002</v>
      </c>
      <c r="F89" s="509">
        <f t="shared" si="31"/>
        <v>2646366.8000000003</v>
      </c>
      <c r="G89" s="510">
        <f t="shared" si="32"/>
        <v>1085010.388</v>
      </c>
      <c r="H89" s="464">
        <v>984.40000000000009</v>
      </c>
      <c r="I89" s="509">
        <f t="shared" si="38"/>
        <v>359306.00000000006</v>
      </c>
      <c r="J89" s="513">
        <v>2.2000000000000002</v>
      </c>
      <c r="K89" s="511">
        <f t="shared" si="33"/>
        <v>790473.20000000019</v>
      </c>
      <c r="L89" s="512">
        <f t="shared" si="34"/>
        <v>758854.27200000011</v>
      </c>
      <c r="M89" s="512">
        <f t="shared" si="35"/>
        <v>1843864.6600000001</v>
      </c>
      <c r="N89" s="512">
        <f t="shared" si="36"/>
        <v>876006.81747964676</v>
      </c>
      <c r="O89" s="248"/>
      <c r="P89" s="470">
        <f t="shared" si="39"/>
        <v>360526.19813514635</v>
      </c>
    </row>
    <row r="90" spans="1:16" x14ac:dyDescent="0.3">
      <c r="A90" s="507">
        <v>12</v>
      </c>
      <c r="B90" s="508">
        <f t="shared" si="40"/>
        <v>2030</v>
      </c>
      <c r="C90" s="421">
        <v>3311</v>
      </c>
      <c r="D90" s="509">
        <f t="shared" si="41"/>
        <v>1208515</v>
      </c>
      <c r="E90" s="513">
        <v>2.2000000000000002</v>
      </c>
      <c r="F90" s="509">
        <f t="shared" si="31"/>
        <v>2658733</v>
      </c>
      <c r="G90" s="510">
        <f t="shared" si="32"/>
        <v>1090080.53</v>
      </c>
      <c r="H90" s="464">
        <v>989</v>
      </c>
      <c r="I90" s="509">
        <f t="shared" si="38"/>
        <v>360985</v>
      </c>
      <c r="J90" s="513">
        <v>2.2000000000000002</v>
      </c>
      <c r="K90" s="511">
        <f t="shared" si="33"/>
        <v>794167.00000000012</v>
      </c>
      <c r="L90" s="512">
        <f t="shared" si="34"/>
        <v>762400.32000000007</v>
      </c>
      <c r="M90" s="512">
        <f t="shared" si="35"/>
        <v>1852480.85</v>
      </c>
      <c r="N90" s="512">
        <f t="shared" si="36"/>
        <v>822523.65166444273</v>
      </c>
      <c r="O90" s="248"/>
      <c r="P90" s="470">
        <f t="shared" si="39"/>
        <v>338514.85980896355</v>
      </c>
    </row>
    <row r="91" spans="1:16" x14ac:dyDescent="0.3">
      <c r="A91" s="507">
        <v>13</v>
      </c>
      <c r="B91" s="508">
        <f t="shared" si="40"/>
        <v>2031</v>
      </c>
      <c r="C91" s="421">
        <v>3326.4</v>
      </c>
      <c r="D91" s="509">
        <f t="shared" si="41"/>
        <v>1214136</v>
      </c>
      <c r="E91" s="513">
        <v>2.2000000000000002</v>
      </c>
      <c r="F91" s="509">
        <f t="shared" si="31"/>
        <v>2671099.2000000002</v>
      </c>
      <c r="G91" s="510">
        <f t="shared" si="32"/>
        <v>1095150.672</v>
      </c>
      <c r="H91" s="464">
        <v>993.6</v>
      </c>
      <c r="I91" s="509">
        <f t="shared" si="38"/>
        <v>362664</v>
      </c>
      <c r="J91" s="513">
        <v>2.2000000000000002</v>
      </c>
      <c r="K91" s="511">
        <f t="shared" si="33"/>
        <v>797860.8</v>
      </c>
      <c r="L91" s="512">
        <f t="shared" si="34"/>
        <v>765946.36800000002</v>
      </c>
      <c r="M91" s="512">
        <f t="shared" si="35"/>
        <v>1861097.04</v>
      </c>
      <c r="N91" s="512">
        <f t="shared" si="36"/>
        <v>772289.10567059158</v>
      </c>
      <c r="O91" s="248"/>
      <c r="P91" s="470">
        <f t="shared" si="39"/>
        <v>317840.51170935069</v>
      </c>
    </row>
    <row r="92" spans="1:16" x14ac:dyDescent="0.3">
      <c r="A92" s="507">
        <v>14</v>
      </c>
      <c r="B92" s="508">
        <f t="shared" si="40"/>
        <v>2032</v>
      </c>
      <c r="C92" s="421">
        <v>3341.8</v>
      </c>
      <c r="D92" s="509">
        <f t="shared" si="41"/>
        <v>1219757</v>
      </c>
      <c r="E92" s="513">
        <v>2.2000000000000002</v>
      </c>
      <c r="F92" s="509">
        <f t="shared" si="31"/>
        <v>2683465.4000000004</v>
      </c>
      <c r="G92" s="510">
        <f t="shared" si="32"/>
        <v>1100220.814</v>
      </c>
      <c r="H92" s="464">
        <v>998.2</v>
      </c>
      <c r="I92" s="509">
        <f t="shared" si="38"/>
        <v>364343</v>
      </c>
      <c r="J92" s="513">
        <v>2.2000000000000002</v>
      </c>
      <c r="K92" s="511">
        <f t="shared" si="33"/>
        <v>801554.60000000009</v>
      </c>
      <c r="L92" s="512">
        <f t="shared" si="34"/>
        <v>769492.41600000008</v>
      </c>
      <c r="M92" s="512">
        <f t="shared" si="35"/>
        <v>1869713.23</v>
      </c>
      <c r="N92" s="512">
        <f t="shared" si="36"/>
        <v>725107.02635219099</v>
      </c>
      <c r="O92" s="248"/>
      <c r="P92" s="470">
        <f t="shared" si="39"/>
        <v>298422.42575687566</v>
      </c>
    </row>
    <row r="93" spans="1:16" x14ac:dyDescent="0.3">
      <c r="A93" s="507">
        <v>15</v>
      </c>
      <c r="B93" s="508">
        <f t="shared" si="40"/>
        <v>2033</v>
      </c>
      <c r="C93" s="421">
        <v>3357.2</v>
      </c>
      <c r="D93" s="509">
        <f t="shared" si="41"/>
        <v>1225378</v>
      </c>
      <c r="E93" s="513">
        <v>2.2000000000000002</v>
      </c>
      <c r="F93" s="509">
        <f t="shared" si="31"/>
        <v>2695831.6</v>
      </c>
      <c r="G93" s="510">
        <f t="shared" si="32"/>
        <v>1105290.956</v>
      </c>
      <c r="H93" s="464">
        <v>1002.8000000000001</v>
      </c>
      <c r="I93" s="509">
        <f t="shared" si="38"/>
        <v>366022</v>
      </c>
      <c r="J93" s="513">
        <v>2.2000000000000002</v>
      </c>
      <c r="K93" s="511">
        <f t="shared" si="33"/>
        <v>805248.4</v>
      </c>
      <c r="L93" s="512">
        <f t="shared" si="34"/>
        <v>773038.46400000004</v>
      </c>
      <c r="M93" s="512">
        <f t="shared" si="35"/>
        <v>1878329.42</v>
      </c>
      <c r="N93" s="512">
        <f t="shared" si="36"/>
        <v>680793.02185614198</v>
      </c>
      <c r="O93" s="248"/>
      <c r="P93" s="470">
        <f t="shared" si="39"/>
        <v>280184.71430724359</v>
      </c>
    </row>
    <row r="94" spans="1:16" x14ac:dyDescent="0.3">
      <c r="A94" s="507">
        <v>16</v>
      </c>
      <c r="B94" s="508">
        <f t="shared" si="40"/>
        <v>2034</v>
      </c>
      <c r="C94" s="421">
        <v>3372.6</v>
      </c>
      <c r="D94" s="509">
        <f t="shared" si="41"/>
        <v>1230999</v>
      </c>
      <c r="E94" s="513">
        <v>2.2000000000000002</v>
      </c>
      <c r="F94" s="509">
        <f t="shared" si="31"/>
        <v>2708197.8000000003</v>
      </c>
      <c r="G94" s="510">
        <f t="shared" si="32"/>
        <v>1110361.098</v>
      </c>
      <c r="H94" s="464">
        <v>1007.4000000000001</v>
      </c>
      <c r="I94" s="509">
        <f t="shared" si="38"/>
        <v>367701.00000000006</v>
      </c>
      <c r="J94" s="513">
        <v>2.2000000000000002</v>
      </c>
      <c r="K94" s="511">
        <f t="shared" si="33"/>
        <v>808942.20000000019</v>
      </c>
      <c r="L94" s="512">
        <f t="shared" si="34"/>
        <v>776584.5120000001</v>
      </c>
      <c r="M94" s="512">
        <f t="shared" si="35"/>
        <v>1886945.61</v>
      </c>
      <c r="N94" s="512">
        <f t="shared" si="36"/>
        <v>639173.7622674061</v>
      </c>
      <c r="O94" s="248"/>
      <c r="P94" s="470">
        <f t="shared" si="39"/>
        <v>263056.04232738726</v>
      </c>
    </row>
    <row r="95" spans="1:16" x14ac:dyDescent="0.3">
      <c r="A95" s="507">
        <v>17</v>
      </c>
      <c r="B95" s="508">
        <f t="shared" si="40"/>
        <v>2035</v>
      </c>
      <c r="C95" s="421">
        <v>3395.7</v>
      </c>
      <c r="D95" s="509">
        <f t="shared" si="41"/>
        <v>1239430.5</v>
      </c>
      <c r="E95" s="513">
        <v>2.2000000000000002</v>
      </c>
      <c r="F95" s="509">
        <f t="shared" si="31"/>
        <v>2726747.1</v>
      </c>
      <c r="G95" s="510">
        <f t="shared" si="32"/>
        <v>1117966.311</v>
      </c>
      <c r="H95" s="464">
        <v>1014.3000000000001</v>
      </c>
      <c r="I95" s="509">
        <f t="shared" si="38"/>
        <v>370219.5</v>
      </c>
      <c r="J95" s="513">
        <v>2.2000000000000002</v>
      </c>
      <c r="K95" s="511">
        <f t="shared" si="33"/>
        <v>814482.9</v>
      </c>
      <c r="L95" s="512">
        <f t="shared" si="34"/>
        <v>781903.58400000003</v>
      </c>
      <c r="M95" s="512">
        <f t="shared" si="35"/>
        <v>1899869.895</v>
      </c>
      <c r="N95" s="512">
        <f t="shared" si="36"/>
        <v>601450.15397073794</v>
      </c>
      <c r="O95" s="248"/>
      <c r="P95" s="470">
        <f t="shared" si="39"/>
        <v>247530.65050650315</v>
      </c>
    </row>
    <row r="96" spans="1:16" x14ac:dyDescent="0.3">
      <c r="A96" s="507">
        <v>18</v>
      </c>
      <c r="B96" s="508">
        <f t="shared" si="40"/>
        <v>2036</v>
      </c>
      <c r="C96" s="421">
        <v>3411.1</v>
      </c>
      <c r="D96" s="509">
        <f t="shared" si="41"/>
        <v>1245051.5</v>
      </c>
      <c r="E96" s="513">
        <v>2.2000000000000002</v>
      </c>
      <c r="F96" s="509">
        <f t="shared" si="31"/>
        <v>2739113.3000000003</v>
      </c>
      <c r="G96" s="510">
        <f t="shared" si="32"/>
        <v>1123036.453</v>
      </c>
      <c r="H96" s="464">
        <v>1018.9000000000001</v>
      </c>
      <c r="I96" s="509">
        <f t="shared" si="38"/>
        <v>371898.50000000006</v>
      </c>
      <c r="J96" s="513">
        <v>2.2000000000000002</v>
      </c>
      <c r="K96" s="511">
        <f t="shared" si="33"/>
        <v>818176.70000000019</v>
      </c>
      <c r="L96" s="512">
        <f t="shared" si="34"/>
        <v>785449.6320000001</v>
      </c>
      <c r="M96" s="512">
        <f t="shared" si="35"/>
        <v>1908486.085</v>
      </c>
      <c r="N96" s="512">
        <f t="shared" si="36"/>
        <v>564652.16735337465</v>
      </c>
      <c r="O96" s="248"/>
      <c r="P96" s="470">
        <f t="shared" si="39"/>
        <v>232386.20419687819</v>
      </c>
    </row>
    <row r="97" spans="1:16" x14ac:dyDescent="0.3">
      <c r="A97" s="507">
        <v>19</v>
      </c>
      <c r="B97" s="508">
        <f t="shared" si="40"/>
        <v>2037</v>
      </c>
      <c r="C97" s="421">
        <v>3426.5</v>
      </c>
      <c r="D97" s="509">
        <f t="shared" si="41"/>
        <v>1250672.5</v>
      </c>
      <c r="E97" s="513">
        <v>2.2000000000000002</v>
      </c>
      <c r="F97" s="509">
        <f t="shared" si="31"/>
        <v>2751479.5</v>
      </c>
      <c r="G97" s="510">
        <f t="shared" si="32"/>
        <v>1128106.595</v>
      </c>
      <c r="H97" s="464">
        <v>1023.5</v>
      </c>
      <c r="I97" s="509">
        <f t="shared" si="38"/>
        <v>373577.5</v>
      </c>
      <c r="J97" s="513">
        <v>2.2000000000000002</v>
      </c>
      <c r="K97" s="511">
        <f t="shared" si="33"/>
        <v>821870.50000000012</v>
      </c>
      <c r="L97" s="512">
        <f t="shared" si="34"/>
        <v>788995.68</v>
      </c>
      <c r="M97" s="512">
        <f t="shared" si="35"/>
        <v>1917102.2749999999</v>
      </c>
      <c r="N97" s="512">
        <f t="shared" si="36"/>
        <v>530094.754271538</v>
      </c>
      <c r="O97" s="248"/>
      <c r="P97" s="470">
        <f t="shared" si="39"/>
        <v>218163.88022955376</v>
      </c>
    </row>
    <row r="98" spans="1:16" x14ac:dyDescent="0.3">
      <c r="A98" s="507">
        <v>20</v>
      </c>
      <c r="B98" s="508">
        <f t="shared" si="40"/>
        <v>2038</v>
      </c>
      <c r="C98" s="421">
        <v>3441.8999999999996</v>
      </c>
      <c r="D98" s="509">
        <f t="shared" si="41"/>
        <v>1256293.4999999998</v>
      </c>
      <c r="E98" s="513">
        <v>2.2000000000000002</v>
      </c>
      <c r="F98" s="509">
        <f t="shared" si="31"/>
        <v>2763845.6999999997</v>
      </c>
      <c r="G98" s="510">
        <f t="shared" si="32"/>
        <v>1133176.7369999997</v>
      </c>
      <c r="H98" s="464">
        <v>1028.1000000000001</v>
      </c>
      <c r="I98" s="509">
        <f t="shared" si="38"/>
        <v>375256.50000000006</v>
      </c>
      <c r="J98" s="513">
        <v>2.2000000000000002</v>
      </c>
      <c r="K98" s="511">
        <f t="shared" si="33"/>
        <v>825564.30000000016</v>
      </c>
      <c r="L98" s="512">
        <f t="shared" si="34"/>
        <v>792541.72800000012</v>
      </c>
      <c r="M98" s="512">
        <f t="shared" si="35"/>
        <v>1925718.4649999999</v>
      </c>
      <c r="N98" s="512">
        <f t="shared" si="36"/>
        <v>497642.24542555388</v>
      </c>
      <c r="O98" s="248"/>
      <c r="P98" s="470">
        <f t="shared" si="39"/>
        <v>204807.84303814039</v>
      </c>
    </row>
    <row r="99" spans="1:16" x14ac:dyDescent="0.3">
      <c r="A99" s="507">
        <v>21</v>
      </c>
      <c r="B99" s="508">
        <f t="shared" si="40"/>
        <v>2039</v>
      </c>
      <c r="C99" s="421">
        <v>3457.3</v>
      </c>
      <c r="D99" s="509">
        <f t="shared" si="41"/>
        <v>1261914.5</v>
      </c>
      <c r="E99" s="513">
        <v>2.2000000000000002</v>
      </c>
      <c r="F99" s="509">
        <f t="shared" si="31"/>
        <v>2776211.9000000004</v>
      </c>
      <c r="G99" s="510">
        <f t="shared" si="32"/>
        <v>1138246.8790000002</v>
      </c>
      <c r="H99" s="464">
        <v>1032.7</v>
      </c>
      <c r="I99" s="509">
        <f t="shared" si="38"/>
        <v>376935.5</v>
      </c>
      <c r="J99" s="513">
        <v>2.2000000000000002</v>
      </c>
      <c r="K99" s="511">
        <f t="shared" si="33"/>
        <v>829258.10000000009</v>
      </c>
      <c r="L99" s="512">
        <f t="shared" si="34"/>
        <v>796087.77600000007</v>
      </c>
      <c r="M99" s="512">
        <f t="shared" si="35"/>
        <v>1934334.6550000003</v>
      </c>
      <c r="N99" s="512">
        <f t="shared" si="36"/>
        <v>467167.13332094281</v>
      </c>
      <c r="O99" s="248"/>
      <c r="P99" s="470">
        <f t="shared" si="39"/>
        <v>192265.61609928083</v>
      </c>
    </row>
    <row r="100" spans="1:16" x14ac:dyDescent="0.3">
      <c r="A100" s="507">
        <v>22</v>
      </c>
      <c r="B100" s="508">
        <f t="shared" si="40"/>
        <v>2040</v>
      </c>
      <c r="C100" s="421">
        <v>3472.7</v>
      </c>
      <c r="D100" s="509">
        <f t="shared" si="41"/>
        <v>1267535.5</v>
      </c>
      <c r="E100" s="513">
        <v>2.2000000000000002</v>
      </c>
      <c r="F100" s="509">
        <f t="shared" si="31"/>
        <v>2788578.1</v>
      </c>
      <c r="G100" s="510">
        <f t="shared" si="32"/>
        <v>1143317.0209999999</v>
      </c>
      <c r="H100" s="464">
        <v>1037.3</v>
      </c>
      <c r="I100" s="509">
        <f t="shared" si="38"/>
        <v>378614.5</v>
      </c>
      <c r="J100" s="513">
        <v>2.2000000000000002</v>
      </c>
      <c r="K100" s="511">
        <f t="shared" si="33"/>
        <v>832951.9</v>
      </c>
      <c r="L100" s="512">
        <f t="shared" si="34"/>
        <v>799633.82400000002</v>
      </c>
      <c r="M100" s="512">
        <f t="shared" si="35"/>
        <v>1942950.845</v>
      </c>
      <c r="N100" s="512">
        <f t="shared" si="36"/>
        <v>438549.58501289506</v>
      </c>
      <c r="O100" s="248"/>
      <c r="P100" s="470">
        <f t="shared" si="39"/>
        <v>180487.88139952885</v>
      </c>
    </row>
    <row r="101" spans="1:16" x14ac:dyDescent="0.3">
      <c r="A101" s="507">
        <v>23</v>
      </c>
      <c r="B101" s="508">
        <f t="shared" si="40"/>
        <v>2041</v>
      </c>
      <c r="C101" s="421">
        <v>3488.1</v>
      </c>
      <c r="D101" s="509">
        <f t="shared" si="41"/>
        <v>1273156.5</v>
      </c>
      <c r="E101" s="513">
        <v>2.2000000000000002</v>
      </c>
      <c r="F101" s="509">
        <f t="shared" si="31"/>
        <v>2800944.3000000003</v>
      </c>
      <c r="G101" s="510">
        <f t="shared" si="32"/>
        <v>1148387.1629999999</v>
      </c>
      <c r="H101" s="464">
        <v>1041.9000000000001</v>
      </c>
      <c r="I101" s="509">
        <f t="shared" si="38"/>
        <v>380293.50000000006</v>
      </c>
      <c r="J101" s="513">
        <v>2.2000000000000002</v>
      </c>
      <c r="K101" s="511">
        <f t="shared" si="33"/>
        <v>836645.70000000019</v>
      </c>
      <c r="L101" s="512">
        <f t="shared" si="34"/>
        <v>803179.87200000021</v>
      </c>
      <c r="M101" s="512">
        <f t="shared" si="35"/>
        <v>1951567.0350000001</v>
      </c>
      <c r="N101" s="512">
        <f t="shared" si="36"/>
        <v>411676.98367250653</v>
      </c>
      <c r="O101" s="248"/>
      <c r="P101" s="470">
        <f t="shared" si="39"/>
        <v>169428.29076400644</v>
      </c>
    </row>
    <row r="102" spans="1:16" x14ac:dyDescent="0.3">
      <c r="A102" s="507">
        <v>24</v>
      </c>
      <c r="B102" s="508">
        <f t="shared" si="40"/>
        <v>2042</v>
      </c>
      <c r="C102" s="421">
        <v>3503.5</v>
      </c>
      <c r="D102" s="509">
        <f t="shared" si="41"/>
        <v>1278777.5</v>
      </c>
      <c r="E102" s="513">
        <v>2.2000000000000002</v>
      </c>
      <c r="F102" s="509">
        <f t="shared" si="31"/>
        <v>2813310.5</v>
      </c>
      <c r="G102" s="510">
        <f t="shared" si="32"/>
        <v>1153457.3049999999</v>
      </c>
      <c r="H102" s="464">
        <v>1046.5</v>
      </c>
      <c r="I102" s="509">
        <f t="shared" si="38"/>
        <v>381972.5</v>
      </c>
      <c r="J102" s="513">
        <v>2.2000000000000002</v>
      </c>
      <c r="K102" s="511">
        <f t="shared" si="33"/>
        <v>840339.50000000012</v>
      </c>
      <c r="L102" s="512">
        <f t="shared" si="34"/>
        <v>806725.92</v>
      </c>
      <c r="M102" s="512">
        <f t="shared" si="35"/>
        <v>1960183.2250000001</v>
      </c>
      <c r="N102" s="512">
        <f t="shared" si="36"/>
        <v>386443.49728908099</v>
      </c>
      <c r="O102" s="248"/>
      <c r="P102" s="470">
        <f t="shared" si="39"/>
        <v>159043.2883530831</v>
      </c>
    </row>
    <row r="103" spans="1:16" x14ac:dyDescent="0.3">
      <c r="A103" s="507">
        <v>25</v>
      </c>
      <c r="B103" s="508">
        <f t="shared" si="40"/>
        <v>2043</v>
      </c>
      <c r="C103" s="421">
        <v>3518.8999999999996</v>
      </c>
      <c r="D103" s="509">
        <f t="shared" si="41"/>
        <v>1284398.4999999998</v>
      </c>
      <c r="E103" s="513">
        <v>2.2000000000000002</v>
      </c>
      <c r="F103" s="509">
        <f t="shared" si="31"/>
        <v>2825676.6999999997</v>
      </c>
      <c r="G103" s="510">
        <f t="shared" si="32"/>
        <v>1158527.4469999999</v>
      </c>
      <c r="H103" s="464">
        <v>1051.1000000000001</v>
      </c>
      <c r="I103" s="509">
        <f t="shared" si="38"/>
        <v>383651.50000000006</v>
      </c>
      <c r="J103" s="513">
        <v>2.2000000000000002</v>
      </c>
      <c r="K103" s="511">
        <f t="shared" si="33"/>
        <v>844033.30000000016</v>
      </c>
      <c r="L103" s="512">
        <f t="shared" si="34"/>
        <v>810271.96800000011</v>
      </c>
      <c r="M103" s="512">
        <f t="shared" si="35"/>
        <v>1968799.415</v>
      </c>
      <c r="N103" s="512">
        <f t="shared" si="36"/>
        <v>362749.67292001646</v>
      </c>
      <c r="O103" s="248"/>
      <c r="P103" s="470">
        <f t="shared" si="39"/>
        <v>149291.94367332646</v>
      </c>
    </row>
    <row r="104" spans="1:16" x14ac:dyDescent="0.3">
      <c r="A104" s="507">
        <v>26</v>
      </c>
      <c r="B104" s="508">
        <f t="shared" si="40"/>
        <v>2044</v>
      </c>
      <c r="C104" s="421">
        <v>3534.3</v>
      </c>
      <c r="D104" s="509">
        <f t="shared" si="41"/>
        <v>1290019.5</v>
      </c>
      <c r="E104" s="513">
        <v>2.2000000000000002</v>
      </c>
      <c r="F104" s="509">
        <f t="shared" si="31"/>
        <v>2838042.9000000004</v>
      </c>
      <c r="G104" s="510">
        <f t="shared" si="32"/>
        <v>1163597.5890000002</v>
      </c>
      <c r="H104" s="464">
        <v>1055.7</v>
      </c>
      <c r="I104" s="509">
        <f t="shared" si="38"/>
        <v>385330.5</v>
      </c>
      <c r="J104" s="513">
        <v>2.2000000000000002</v>
      </c>
      <c r="K104" s="511">
        <f t="shared" si="33"/>
        <v>847727.10000000009</v>
      </c>
      <c r="L104" s="512">
        <f t="shared" si="34"/>
        <v>813818.01600000006</v>
      </c>
      <c r="M104" s="512">
        <f t="shared" si="35"/>
        <v>1977415.6050000002</v>
      </c>
      <c r="N104" s="512">
        <f t="shared" si="36"/>
        <v>340502.0549914877</v>
      </c>
      <c r="O104" s="248"/>
      <c r="P104" s="470">
        <f t="shared" si="39"/>
        <v>140135.79448671106</v>
      </c>
    </row>
    <row r="105" spans="1:16" x14ac:dyDescent="0.3">
      <c r="A105" s="507">
        <v>27</v>
      </c>
      <c r="B105" s="508">
        <f t="shared" si="40"/>
        <v>2045</v>
      </c>
      <c r="C105" s="421">
        <v>3549.7</v>
      </c>
      <c r="D105" s="509">
        <f t="shared" si="41"/>
        <v>1295640.5</v>
      </c>
      <c r="E105" s="513">
        <v>2.2000000000000002</v>
      </c>
      <c r="F105" s="509">
        <f t="shared" si="31"/>
        <v>2850409.1</v>
      </c>
      <c r="G105" s="510">
        <f t="shared" si="32"/>
        <v>1168667.7309999999</v>
      </c>
      <c r="H105" s="464">
        <v>1060.3</v>
      </c>
      <c r="I105" s="509">
        <f t="shared" si="38"/>
        <v>387009.5</v>
      </c>
      <c r="J105" s="513">
        <v>2.2000000000000002</v>
      </c>
      <c r="K105" s="511">
        <f t="shared" si="33"/>
        <v>851420.9</v>
      </c>
      <c r="L105" s="512">
        <f t="shared" si="34"/>
        <v>817364.06400000001</v>
      </c>
      <c r="M105" s="512">
        <f t="shared" si="35"/>
        <v>1986031.7949999999</v>
      </c>
      <c r="N105" s="512">
        <f t="shared" si="36"/>
        <v>319612.8262396428</v>
      </c>
      <c r="O105" s="248"/>
      <c r="P105" s="470">
        <f t="shared" si="39"/>
        <v>131538.69903767592</v>
      </c>
    </row>
    <row r="106" spans="1:16" x14ac:dyDescent="0.3">
      <c r="A106" s="507">
        <v>28</v>
      </c>
      <c r="B106" s="508">
        <f t="shared" si="40"/>
        <v>2046</v>
      </c>
      <c r="C106" s="421">
        <v>3565.1</v>
      </c>
      <c r="D106" s="509">
        <f t="shared" si="41"/>
        <v>1301261.5</v>
      </c>
      <c r="E106" s="513">
        <v>2.2000000000000002</v>
      </c>
      <c r="F106" s="509">
        <f t="shared" si="31"/>
        <v>2862775.3000000003</v>
      </c>
      <c r="G106" s="510">
        <f t="shared" si="32"/>
        <v>1173737.8730000001</v>
      </c>
      <c r="H106" s="464">
        <v>1064.9000000000001</v>
      </c>
      <c r="I106" s="509">
        <f t="shared" si="38"/>
        <v>388688.50000000006</v>
      </c>
      <c r="J106" s="513">
        <v>2.2000000000000002</v>
      </c>
      <c r="K106" s="511">
        <f t="shared" si="33"/>
        <v>855114.70000000019</v>
      </c>
      <c r="L106" s="512">
        <f t="shared" si="34"/>
        <v>820910.1120000002</v>
      </c>
      <c r="M106" s="512">
        <f t="shared" si="35"/>
        <v>1994647.9850000003</v>
      </c>
      <c r="N106" s="512">
        <f t="shared" si="36"/>
        <v>299999.46996361966</v>
      </c>
      <c r="O106" s="248"/>
      <c r="P106" s="470">
        <f t="shared" si="39"/>
        <v>123466.69705119707</v>
      </c>
    </row>
    <row r="107" spans="1:16" x14ac:dyDescent="0.3">
      <c r="A107" s="507">
        <v>29</v>
      </c>
      <c r="B107" s="508">
        <f t="shared" si="40"/>
        <v>2047</v>
      </c>
      <c r="C107" s="421">
        <v>3580.5</v>
      </c>
      <c r="D107" s="509">
        <f t="shared" si="41"/>
        <v>1306882.5</v>
      </c>
      <c r="E107" s="513">
        <v>2.2000000000000002</v>
      </c>
      <c r="F107" s="509">
        <f t="shared" si="31"/>
        <v>2875141.5</v>
      </c>
      <c r="G107" s="510">
        <f t="shared" si="32"/>
        <v>1178808.0149999999</v>
      </c>
      <c r="H107" s="464">
        <v>1069.5</v>
      </c>
      <c r="I107" s="509">
        <f t="shared" si="38"/>
        <v>390367.5</v>
      </c>
      <c r="J107" s="513">
        <v>2.2000000000000002</v>
      </c>
      <c r="K107" s="511">
        <f t="shared" si="33"/>
        <v>858808.50000000012</v>
      </c>
      <c r="L107" s="512">
        <f t="shared" si="34"/>
        <v>824456.16</v>
      </c>
      <c r="M107" s="512">
        <f t="shared" si="35"/>
        <v>2003264.1749999998</v>
      </c>
      <c r="N107" s="512">
        <f t="shared" si="36"/>
        <v>281584.45233863487</v>
      </c>
      <c r="O107" s="248"/>
      <c r="P107" s="470">
        <f t="shared" si="39"/>
        <v>115887.87898671126</v>
      </c>
    </row>
    <row r="108" spans="1:16" x14ac:dyDescent="0.3">
      <c r="A108" s="507">
        <f>1+A107</f>
        <v>30</v>
      </c>
      <c r="B108" s="508">
        <f t="shared" si="40"/>
        <v>2048</v>
      </c>
      <c r="C108" s="421">
        <v>3595.8999999999996</v>
      </c>
      <c r="D108" s="509">
        <f t="shared" si="41"/>
        <v>1312503.4999999998</v>
      </c>
      <c r="E108" s="513">
        <v>2.2000000000000002</v>
      </c>
      <c r="F108" s="509">
        <f t="shared" si="31"/>
        <v>2887507.6999999997</v>
      </c>
      <c r="G108" s="510">
        <f t="shared" si="32"/>
        <v>1183878.1569999999</v>
      </c>
      <c r="H108" s="464">
        <v>1074.1000000000001</v>
      </c>
      <c r="I108" s="509">
        <f t="shared" si="38"/>
        <v>392046.50000000006</v>
      </c>
      <c r="J108" s="513">
        <v>2.2000000000000002</v>
      </c>
      <c r="K108" s="511">
        <f t="shared" si="33"/>
        <v>862502.30000000016</v>
      </c>
      <c r="L108" s="512">
        <f t="shared" si="34"/>
        <v>828002.2080000001</v>
      </c>
      <c r="M108" s="512">
        <f t="shared" si="35"/>
        <v>2011880.365</v>
      </c>
      <c r="N108" s="512">
        <f t="shared" si="36"/>
        <v>264294.92360997392</v>
      </c>
      <c r="O108" s="248"/>
      <c r="P108" s="470">
        <f t="shared" si="39"/>
        <v>108772.26306259506</v>
      </c>
    </row>
    <row r="109" spans="1:16" ht="16.8" thickBot="1" x14ac:dyDescent="0.35">
      <c r="A109" s="515">
        <f>1+A108</f>
        <v>31</v>
      </c>
      <c r="B109" s="516">
        <f t="shared" si="40"/>
        <v>2049</v>
      </c>
      <c r="C109" s="421">
        <v>3595.8999999999996</v>
      </c>
      <c r="D109" s="518">
        <f t="shared" si="41"/>
        <v>1312503.4999999998</v>
      </c>
      <c r="E109" s="513">
        <v>2.2000000000000002</v>
      </c>
      <c r="F109" s="518">
        <f t="shared" si="31"/>
        <v>2887507.6999999997</v>
      </c>
      <c r="G109" s="510">
        <f t="shared" si="32"/>
        <v>1183878.1569999999</v>
      </c>
      <c r="H109" s="464">
        <v>1074.1000000000001</v>
      </c>
      <c r="I109" s="518">
        <f t="shared" si="38"/>
        <v>392046.50000000006</v>
      </c>
      <c r="J109" s="513">
        <v>2.2000000000000002</v>
      </c>
      <c r="K109" s="520">
        <f t="shared" si="33"/>
        <v>862502.30000000016</v>
      </c>
      <c r="L109" s="512">
        <f t="shared" si="34"/>
        <v>828002.2080000001</v>
      </c>
      <c r="M109" s="521">
        <f t="shared" si="35"/>
        <v>2011880.365</v>
      </c>
      <c r="N109" s="521">
        <f t="shared" si="36"/>
        <v>247004.60150464845</v>
      </c>
      <c r="O109" s="248"/>
      <c r="P109" s="470">
        <f t="shared" si="39"/>
        <v>101656.32061924769</v>
      </c>
    </row>
    <row r="110" spans="1:16" ht="16.8" thickBot="1" x14ac:dyDescent="0.35">
      <c r="A110" s="148" t="s">
        <v>40</v>
      </c>
      <c r="B110" s="149"/>
      <c r="C110" s="27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50">
        <f>SUM(N78:N109)</f>
        <v>14640737.337493051</v>
      </c>
      <c r="O110" s="248"/>
      <c r="P110" s="475">
        <f>SUM(P78:P107)</f>
        <v>5815060.3335939571</v>
      </c>
    </row>
    <row r="112" spans="1:16" x14ac:dyDescent="0.25">
      <c r="A112" s="587" t="s">
        <v>177</v>
      </c>
      <c r="B112" s="588"/>
      <c r="C112" s="588"/>
      <c r="D112" s="588"/>
      <c r="E112" s="588"/>
      <c r="F112" s="588"/>
      <c r="G112" s="588"/>
      <c r="H112" s="588"/>
      <c r="I112" s="588"/>
      <c r="J112" s="588"/>
      <c r="K112" s="588"/>
      <c r="L112" s="588"/>
      <c r="M112" s="588"/>
      <c r="N112" s="589"/>
      <c r="O112" s="248"/>
      <c r="P112" s="191"/>
    </row>
    <row r="113" spans="1:16" x14ac:dyDescent="0.3">
      <c r="A113" s="503" t="s">
        <v>145</v>
      </c>
      <c r="B113" s="503" t="s">
        <v>146</v>
      </c>
      <c r="C113" s="503" t="s">
        <v>147</v>
      </c>
      <c r="D113" s="503" t="s">
        <v>148</v>
      </c>
      <c r="E113" s="503" t="s">
        <v>149</v>
      </c>
      <c r="F113" s="503" t="s">
        <v>150</v>
      </c>
      <c r="G113" s="503" t="s">
        <v>151</v>
      </c>
      <c r="H113" s="503" t="s">
        <v>152</v>
      </c>
      <c r="I113" s="503" t="s">
        <v>153</v>
      </c>
      <c r="J113" s="503" t="s">
        <v>154</v>
      </c>
      <c r="K113" s="503" t="s">
        <v>155</v>
      </c>
      <c r="L113" s="503" t="s">
        <v>88</v>
      </c>
      <c r="M113" s="503" t="s">
        <v>156</v>
      </c>
      <c r="N113" s="503" t="s">
        <v>157</v>
      </c>
      <c r="O113" s="248"/>
      <c r="P113" s="485" t="s">
        <v>160</v>
      </c>
    </row>
    <row r="114" spans="1:16" ht="43.2" x14ac:dyDescent="0.3">
      <c r="A114" s="504" t="s">
        <v>29</v>
      </c>
      <c r="B114" s="505" t="s">
        <v>30</v>
      </c>
      <c r="C114" s="506" t="s">
        <v>225</v>
      </c>
      <c r="D114" s="506" t="s">
        <v>256</v>
      </c>
      <c r="E114" s="506" t="s">
        <v>183</v>
      </c>
      <c r="F114" s="506" t="s">
        <v>184</v>
      </c>
      <c r="G114" s="505" t="s">
        <v>257</v>
      </c>
      <c r="H114" s="506" t="s">
        <v>226</v>
      </c>
      <c r="I114" s="506" t="s">
        <v>258</v>
      </c>
      <c r="J114" s="506" t="s">
        <v>183</v>
      </c>
      <c r="K114" s="506" t="s">
        <v>184</v>
      </c>
      <c r="L114" s="505" t="s">
        <v>259</v>
      </c>
      <c r="M114" s="504" t="s">
        <v>260</v>
      </c>
      <c r="N114" s="504" t="s">
        <v>32</v>
      </c>
      <c r="O114" s="248"/>
      <c r="P114" s="462" t="s">
        <v>173</v>
      </c>
    </row>
    <row r="115" spans="1:16" x14ac:dyDescent="0.3">
      <c r="A115" s="507">
        <v>0</v>
      </c>
      <c r="B115" s="508">
        <v>2018</v>
      </c>
      <c r="C115" s="421">
        <v>9357.5</v>
      </c>
      <c r="D115" s="509">
        <f>C115*365</f>
        <v>3415487.5</v>
      </c>
      <c r="E115" s="483">
        <v>0</v>
      </c>
      <c r="F115" s="509">
        <f t="shared" ref="F115:F146" si="42">D115*E115</f>
        <v>0</v>
      </c>
      <c r="G115" s="510">
        <f t="shared" ref="G115:G146" si="43">F115*0.41</f>
        <v>0</v>
      </c>
      <c r="H115" s="464">
        <v>492.5</v>
      </c>
      <c r="I115" s="509">
        <f>H115*365</f>
        <v>179762.5</v>
      </c>
      <c r="J115" s="483">
        <v>0</v>
      </c>
      <c r="K115" s="511">
        <f t="shared" ref="K115:K146" si="44">I115*J115</f>
        <v>0</v>
      </c>
      <c r="L115" s="512">
        <f t="shared" ref="L115:L146" si="45">K115*0.96</f>
        <v>0</v>
      </c>
      <c r="M115" s="512">
        <f t="shared" ref="M115:M146" si="46">G115+L115</f>
        <v>0</v>
      </c>
      <c r="N115" s="512">
        <f t="shared" ref="N115:N146" si="47">M115/(1+0.07)^A115</f>
        <v>0</v>
      </c>
      <c r="O115" s="248"/>
      <c r="P115" s="470">
        <f>L115/(1+0.07)^A115</f>
        <v>0</v>
      </c>
    </row>
    <row r="116" spans="1:16" x14ac:dyDescent="0.3">
      <c r="A116" s="507">
        <v>1</v>
      </c>
      <c r="B116" s="508">
        <f>1+B115</f>
        <v>2019</v>
      </c>
      <c r="C116" s="421">
        <v>9405</v>
      </c>
      <c r="D116" s="509">
        <f t="shared" ref="D116:D124" si="48">C116*365</f>
        <v>3432825</v>
      </c>
      <c r="E116" s="483">
        <v>0</v>
      </c>
      <c r="F116" s="509">
        <f t="shared" si="42"/>
        <v>0</v>
      </c>
      <c r="G116" s="510">
        <f t="shared" si="43"/>
        <v>0</v>
      </c>
      <c r="H116" s="464">
        <v>495</v>
      </c>
      <c r="I116" s="509">
        <f t="shared" ref="I116:I146" si="49">H116*365</f>
        <v>180675</v>
      </c>
      <c r="J116" s="483">
        <v>0</v>
      </c>
      <c r="K116" s="511">
        <f t="shared" si="44"/>
        <v>0</v>
      </c>
      <c r="L116" s="512">
        <f t="shared" si="45"/>
        <v>0</v>
      </c>
      <c r="M116" s="512">
        <f t="shared" si="46"/>
        <v>0</v>
      </c>
      <c r="N116" s="512">
        <f t="shared" si="47"/>
        <v>0</v>
      </c>
      <c r="O116" s="248"/>
      <c r="P116" s="470">
        <f t="shared" ref="P116:P146" si="50">L116/(1+0.07)^A116</f>
        <v>0</v>
      </c>
    </row>
    <row r="117" spans="1:16" x14ac:dyDescent="0.3">
      <c r="A117" s="507">
        <v>2</v>
      </c>
      <c r="B117" s="508">
        <f t="shared" ref="B117:B146" si="51">1+B116</f>
        <v>2020</v>
      </c>
      <c r="C117" s="421">
        <v>9452.5</v>
      </c>
      <c r="D117" s="509">
        <f t="shared" si="48"/>
        <v>3450162.5</v>
      </c>
      <c r="E117" s="483">
        <v>0</v>
      </c>
      <c r="F117" s="509">
        <f t="shared" si="42"/>
        <v>0</v>
      </c>
      <c r="G117" s="510">
        <f t="shared" si="43"/>
        <v>0</v>
      </c>
      <c r="H117" s="464">
        <v>497.5</v>
      </c>
      <c r="I117" s="509">
        <f t="shared" si="49"/>
        <v>181587.5</v>
      </c>
      <c r="J117" s="483">
        <v>0</v>
      </c>
      <c r="K117" s="511">
        <f t="shared" si="44"/>
        <v>0</v>
      </c>
      <c r="L117" s="512">
        <f t="shared" si="45"/>
        <v>0</v>
      </c>
      <c r="M117" s="512">
        <f t="shared" si="46"/>
        <v>0</v>
      </c>
      <c r="N117" s="512">
        <f t="shared" si="47"/>
        <v>0</v>
      </c>
      <c r="O117" s="248"/>
      <c r="P117" s="470">
        <f t="shared" si="50"/>
        <v>0</v>
      </c>
    </row>
    <row r="118" spans="1:16" x14ac:dyDescent="0.3">
      <c r="A118" s="507">
        <v>3</v>
      </c>
      <c r="B118" s="508">
        <f t="shared" si="51"/>
        <v>2021</v>
      </c>
      <c r="C118" s="421">
        <v>9500</v>
      </c>
      <c r="D118" s="509">
        <f t="shared" si="48"/>
        <v>3467500</v>
      </c>
      <c r="E118" s="483">
        <v>0</v>
      </c>
      <c r="F118" s="509">
        <f t="shared" si="42"/>
        <v>0</v>
      </c>
      <c r="G118" s="510">
        <f t="shared" si="43"/>
        <v>0</v>
      </c>
      <c r="H118" s="464">
        <v>500</v>
      </c>
      <c r="I118" s="509">
        <f t="shared" si="49"/>
        <v>182500</v>
      </c>
      <c r="J118" s="483">
        <v>0</v>
      </c>
      <c r="K118" s="511">
        <f t="shared" si="44"/>
        <v>0</v>
      </c>
      <c r="L118" s="512">
        <f t="shared" si="45"/>
        <v>0</v>
      </c>
      <c r="M118" s="512">
        <f t="shared" si="46"/>
        <v>0</v>
      </c>
      <c r="N118" s="512">
        <f t="shared" si="47"/>
        <v>0</v>
      </c>
      <c r="O118" s="248"/>
      <c r="P118" s="470">
        <f t="shared" si="50"/>
        <v>0</v>
      </c>
    </row>
    <row r="119" spans="1:16" x14ac:dyDescent="0.3">
      <c r="A119" s="507">
        <v>4</v>
      </c>
      <c r="B119" s="508">
        <f t="shared" si="51"/>
        <v>2022</v>
      </c>
      <c r="C119" s="421">
        <v>9547.5</v>
      </c>
      <c r="D119" s="509">
        <f t="shared" si="48"/>
        <v>3484837.5</v>
      </c>
      <c r="E119" s="483">
        <v>0</v>
      </c>
      <c r="F119" s="509">
        <f t="shared" si="42"/>
        <v>0</v>
      </c>
      <c r="G119" s="510">
        <f t="shared" si="43"/>
        <v>0</v>
      </c>
      <c r="H119" s="464">
        <v>502.5</v>
      </c>
      <c r="I119" s="509">
        <f t="shared" si="49"/>
        <v>183412.5</v>
      </c>
      <c r="J119" s="483">
        <v>0</v>
      </c>
      <c r="K119" s="511">
        <f t="shared" si="44"/>
        <v>0</v>
      </c>
      <c r="L119" s="512">
        <f t="shared" si="45"/>
        <v>0</v>
      </c>
      <c r="M119" s="512">
        <f t="shared" si="46"/>
        <v>0</v>
      </c>
      <c r="N119" s="512">
        <f t="shared" si="47"/>
        <v>0</v>
      </c>
      <c r="O119" s="248"/>
      <c r="P119" s="470">
        <f t="shared" si="50"/>
        <v>0</v>
      </c>
    </row>
    <row r="120" spans="1:16" x14ac:dyDescent="0.3">
      <c r="A120" s="507">
        <v>5</v>
      </c>
      <c r="B120" s="508">
        <f t="shared" si="51"/>
        <v>2023</v>
      </c>
      <c r="C120" s="421">
        <v>9595</v>
      </c>
      <c r="D120" s="509">
        <f t="shared" si="48"/>
        <v>3502175</v>
      </c>
      <c r="E120" s="483">
        <v>0</v>
      </c>
      <c r="F120" s="509">
        <f t="shared" si="42"/>
        <v>0</v>
      </c>
      <c r="G120" s="510">
        <f t="shared" si="43"/>
        <v>0</v>
      </c>
      <c r="H120" s="464">
        <v>505</v>
      </c>
      <c r="I120" s="509">
        <f t="shared" si="49"/>
        <v>184325</v>
      </c>
      <c r="J120" s="483">
        <v>0</v>
      </c>
      <c r="K120" s="511">
        <f t="shared" si="44"/>
        <v>0</v>
      </c>
      <c r="L120" s="512">
        <f t="shared" si="45"/>
        <v>0</v>
      </c>
      <c r="M120" s="512">
        <f t="shared" si="46"/>
        <v>0</v>
      </c>
      <c r="N120" s="512">
        <f t="shared" si="47"/>
        <v>0</v>
      </c>
      <c r="O120" s="248"/>
      <c r="P120" s="470">
        <f t="shared" si="50"/>
        <v>0</v>
      </c>
    </row>
    <row r="121" spans="1:16" x14ac:dyDescent="0.3">
      <c r="A121" s="507">
        <v>6</v>
      </c>
      <c r="B121" s="508">
        <f t="shared" si="51"/>
        <v>2024</v>
      </c>
      <c r="C121" s="421">
        <v>9642.5</v>
      </c>
      <c r="D121" s="509">
        <f t="shared" si="48"/>
        <v>3519512.5</v>
      </c>
      <c r="E121" s="483">
        <v>0</v>
      </c>
      <c r="F121" s="509">
        <f t="shared" si="42"/>
        <v>0</v>
      </c>
      <c r="G121" s="510">
        <f t="shared" si="43"/>
        <v>0</v>
      </c>
      <c r="H121" s="464">
        <v>507.5</v>
      </c>
      <c r="I121" s="509">
        <f t="shared" si="49"/>
        <v>185237.5</v>
      </c>
      <c r="J121" s="483">
        <v>0</v>
      </c>
      <c r="K121" s="511">
        <f t="shared" si="44"/>
        <v>0</v>
      </c>
      <c r="L121" s="512">
        <f t="shared" si="45"/>
        <v>0</v>
      </c>
      <c r="M121" s="512">
        <f t="shared" si="46"/>
        <v>0</v>
      </c>
      <c r="N121" s="512">
        <f t="shared" si="47"/>
        <v>0</v>
      </c>
      <c r="O121" s="248"/>
      <c r="P121" s="470">
        <f t="shared" si="50"/>
        <v>0</v>
      </c>
    </row>
    <row r="122" spans="1:16" x14ac:dyDescent="0.3">
      <c r="A122" s="507">
        <v>7</v>
      </c>
      <c r="B122" s="508">
        <f t="shared" si="51"/>
        <v>2025</v>
      </c>
      <c r="C122" s="421">
        <v>9680.5</v>
      </c>
      <c r="D122" s="509">
        <f t="shared" si="48"/>
        <v>3533382.5</v>
      </c>
      <c r="E122" s="483">
        <v>1.1000000000000001</v>
      </c>
      <c r="F122" s="509">
        <f t="shared" si="42"/>
        <v>3886720.7500000005</v>
      </c>
      <c r="G122" s="510">
        <f t="shared" si="43"/>
        <v>1593555.5075000001</v>
      </c>
      <c r="H122" s="464">
        <v>509.5</v>
      </c>
      <c r="I122" s="509">
        <f t="shared" si="49"/>
        <v>185967.5</v>
      </c>
      <c r="J122" s="483">
        <v>1.1000000000000001</v>
      </c>
      <c r="K122" s="511">
        <f t="shared" si="44"/>
        <v>204564.25000000003</v>
      </c>
      <c r="L122" s="512">
        <f t="shared" si="45"/>
        <v>196381.68000000002</v>
      </c>
      <c r="M122" s="514">
        <f t="shared" si="46"/>
        <v>1789937.1875</v>
      </c>
      <c r="N122" s="512">
        <f t="shared" si="47"/>
        <v>1114682.9215052559</v>
      </c>
      <c r="O122" s="248"/>
      <c r="P122" s="470">
        <f t="shared" si="50"/>
        <v>122296.64053086238</v>
      </c>
    </row>
    <row r="123" spans="1:16" x14ac:dyDescent="0.3">
      <c r="A123" s="507">
        <v>8</v>
      </c>
      <c r="B123" s="508">
        <f t="shared" si="51"/>
        <v>2026</v>
      </c>
      <c r="C123" s="421">
        <v>9728</v>
      </c>
      <c r="D123" s="509">
        <f t="shared" si="48"/>
        <v>3550720</v>
      </c>
      <c r="E123" s="483">
        <v>1.1000000000000001</v>
      </c>
      <c r="F123" s="509">
        <f t="shared" si="42"/>
        <v>3905792.0000000005</v>
      </c>
      <c r="G123" s="510">
        <f t="shared" si="43"/>
        <v>1601374.7200000002</v>
      </c>
      <c r="H123" s="464">
        <v>512</v>
      </c>
      <c r="I123" s="509">
        <f t="shared" si="49"/>
        <v>186880</v>
      </c>
      <c r="J123" s="483">
        <v>1.1000000000000001</v>
      </c>
      <c r="K123" s="511">
        <f t="shared" si="44"/>
        <v>205568.00000000003</v>
      </c>
      <c r="L123" s="512">
        <f t="shared" si="45"/>
        <v>197345.28000000003</v>
      </c>
      <c r="M123" s="512">
        <f t="shared" si="46"/>
        <v>1798720.0000000002</v>
      </c>
      <c r="N123" s="512">
        <f t="shared" si="47"/>
        <v>1046871.416563226</v>
      </c>
      <c r="O123" s="248"/>
      <c r="P123" s="470">
        <f t="shared" si="50"/>
        <v>114856.74970293681</v>
      </c>
    </row>
    <row r="124" spans="1:16" x14ac:dyDescent="0.3">
      <c r="A124" s="507">
        <v>9</v>
      </c>
      <c r="B124" s="508">
        <f t="shared" si="51"/>
        <v>2027</v>
      </c>
      <c r="C124" s="421">
        <v>9775.5</v>
      </c>
      <c r="D124" s="509">
        <f t="shared" si="48"/>
        <v>3568057.5</v>
      </c>
      <c r="E124" s="483">
        <v>1.1000000000000001</v>
      </c>
      <c r="F124" s="509">
        <f t="shared" si="42"/>
        <v>3924863.2500000005</v>
      </c>
      <c r="G124" s="510">
        <f t="shared" si="43"/>
        <v>1609193.9325000001</v>
      </c>
      <c r="H124" s="464">
        <v>514.5</v>
      </c>
      <c r="I124" s="509">
        <f t="shared" si="49"/>
        <v>187792.5</v>
      </c>
      <c r="J124" s="483">
        <v>1.1000000000000001</v>
      </c>
      <c r="K124" s="511">
        <f t="shared" si="44"/>
        <v>206571.75000000003</v>
      </c>
      <c r="L124" s="512">
        <f t="shared" si="45"/>
        <v>198308.88000000003</v>
      </c>
      <c r="M124" s="512">
        <f t="shared" si="46"/>
        <v>1807502.8125000002</v>
      </c>
      <c r="N124" s="512">
        <f t="shared" si="47"/>
        <v>983161.76953449869</v>
      </c>
      <c r="O124" s="248"/>
      <c r="P124" s="470">
        <f t="shared" si="50"/>
        <v>107866.89128607072</v>
      </c>
    </row>
    <row r="125" spans="1:16" x14ac:dyDescent="0.3">
      <c r="A125" s="507">
        <v>10</v>
      </c>
      <c r="B125" s="508">
        <f t="shared" si="51"/>
        <v>2028</v>
      </c>
      <c r="C125" s="421">
        <v>9823</v>
      </c>
      <c r="D125" s="509">
        <f>C125*365</f>
        <v>3585395</v>
      </c>
      <c r="E125" s="483">
        <v>1.1000000000000001</v>
      </c>
      <c r="F125" s="509">
        <f t="shared" si="42"/>
        <v>3943934.5000000005</v>
      </c>
      <c r="G125" s="510">
        <f t="shared" si="43"/>
        <v>1617013.145</v>
      </c>
      <c r="H125" s="464">
        <v>517</v>
      </c>
      <c r="I125" s="509">
        <f t="shared" si="49"/>
        <v>188705</v>
      </c>
      <c r="J125" s="483">
        <v>1.1000000000000001</v>
      </c>
      <c r="K125" s="511">
        <f t="shared" si="44"/>
        <v>207575.50000000003</v>
      </c>
      <c r="L125" s="512">
        <f t="shared" si="45"/>
        <v>199272.48</v>
      </c>
      <c r="M125" s="512">
        <f t="shared" si="46"/>
        <v>1816285.625</v>
      </c>
      <c r="N125" s="512">
        <f t="shared" si="47"/>
        <v>923307.51178321347</v>
      </c>
      <c r="O125" s="248"/>
      <c r="P125" s="470">
        <f t="shared" si="50"/>
        <v>101300.02414992971</v>
      </c>
    </row>
    <row r="126" spans="1:16" x14ac:dyDescent="0.3">
      <c r="A126" s="507">
        <v>11</v>
      </c>
      <c r="B126" s="508">
        <f t="shared" si="51"/>
        <v>2029</v>
      </c>
      <c r="C126" s="421">
        <v>9870.5</v>
      </c>
      <c r="D126" s="509">
        <f t="shared" ref="D126:D146" si="52">C126*365</f>
        <v>3602732.5</v>
      </c>
      <c r="E126" s="483">
        <v>1.1000000000000001</v>
      </c>
      <c r="F126" s="509">
        <f t="shared" si="42"/>
        <v>3963005.7500000005</v>
      </c>
      <c r="G126" s="510">
        <f t="shared" si="43"/>
        <v>1624832.3575000002</v>
      </c>
      <c r="H126" s="464">
        <v>519.5</v>
      </c>
      <c r="I126" s="509">
        <f t="shared" si="49"/>
        <v>189617.5</v>
      </c>
      <c r="J126" s="483">
        <v>1.1000000000000001</v>
      </c>
      <c r="K126" s="511">
        <f t="shared" si="44"/>
        <v>208579.25000000003</v>
      </c>
      <c r="L126" s="512">
        <f t="shared" si="45"/>
        <v>200236.08000000002</v>
      </c>
      <c r="M126" s="512">
        <f t="shared" si="46"/>
        <v>1825068.4375000002</v>
      </c>
      <c r="N126" s="512">
        <f t="shared" si="47"/>
        <v>867076.86757059849</v>
      </c>
      <c r="O126" s="248"/>
      <c r="P126" s="470">
        <f t="shared" si="50"/>
        <v>95130.719184888527</v>
      </c>
    </row>
    <row r="127" spans="1:16" x14ac:dyDescent="0.3">
      <c r="A127" s="507">
        <v>12</v>
      </c>
      <c r="B127" s="508">
        <f t="shared" si="51"/>
        <v>2030</v>
      </c>
      <c r="C127" s="421">
        <v>9918</v>
      </c>
      <c r="D127" s="509">
        <f t="shared" si="52"/>
        <v>3620070</v>
      </c>
      <c r="E127" s="483">
        <v>1.1000000000000001</v>
      </c>
      <c r="F127" s="509">
        <f t="shared" si="42"/>
        <v>3982077.0000000005</v>
      </c>
      <c r="G127" s="510">
        <f t="shared" si="43"/>
        <v>1632651.57</v>
      </c>
      <c r="H127" s="464">
        <v>522</v>
      </c>
      <c r="I127" s="509">
        <f t="shared" si="49"/>
        <v>190530</v>
      </c>
      <c r="J127" s="483">
        <v>1.1000000000000001</v>
      </c>
      <c r="K127" s="511">
        <f t="shared" si="44"/>
        <v>209583.00000000003</v>
      </c>
      <c r="L127" s="512">
        <f t="shared" si="45"/>
        <v>201199.68000000002</v>
      </c>
      <c r="M127" s="512">
        <f t="shared" si="46"/>
        <v>1833851.25</v>
      </c>
      <c r="N127" s="512">
        <f t="shared" si="47"/>
        <v>814251.88646857149</v>
      </c>
      <c r="O127" s="248"/>
      <c r="P127" s="470">
        <f t="shared" si="50"/>
        <v>89335.064115408997</v>
      </c>
    </row>
    <row r="128" spans="1:16" x14ac:dyDescent="0.3">
      <c r="A128" s="507">
        <v>13</v>
      </c>
      <c r="B128" s="508">
        <f t="shared" si="51"/>
        <v>2031</v>
      </c>
      <c r="C128" s="421">
        <v>9965.5</v>
      </c>
      <c r="D128" s="509">
        <f t="shared" si="52"/>
        <v>3637407.5</v>
      </c>
      <c r="E128" s="483">
        <v>1.1000000000000001</v>
      </c>
      <c r="F128" s="509">
        <f t="shared" si="42"/>
        <v>4001148.2500000005</v>
      </c>
      <c r="G128" s="510">
        <f t="shared" si="43"/>
        <v>1640470.7825000002</v>
      </c>
      <c r="H128" s="464">
        <v>524.5</v>
      </c>
      <c r="I128" s="509">
        <f t="shared" si="49"/>
        <v>191442.5</v>
      </c>
      <c r="J128" s="483">
        <v>1.1000000000000001</v>
      </c>
      <c r="K128" s="511">
        <f t="shared" si="44"/>
        <v>210586.75000000003</v>
      </c>
      <c r="L128" s="512">
        <f t="shared" si="45"/>
        <v>202163.28000000003</v>
      </c>
      <c r="M128" s="512">
        <f t="shared" si="46"/>
        <v>1842634.0625000002</v>
      </c>
      <c r="N128" s="512">
        <f t="shared" si="47"/>
        <v>764627.62640592572</v>
      </c>
      <c r="O128" s="248"/>
      <c r="P128" s="470">
        <f t="shared" si="50"/>
        <v>83890.573868535852</v>
      </c>
    </row>
    <row r="129" spans="1:16" x14ac:dyDescent="0.3">
      <c r="A129" s="507">
        <v>14</v>
      </c>
      <c r="B129" s="508">
        <f t="shared" si="51"/>
        <v>2032</v>
      </c>
      <c r="C129" s="421">
        <v>10013</v>
      </c>
      <c r="D129" s="509">
        <f t="shared" si="52"/>
        <v>3654745</v>
      </c>
      <c r="E129" s="483">
        <v>1.1000000000000001</v>
      </c>
      <c r="F129" s="509">
        <f t="shared" si="42"/>
        <v>4020219.5000000005</v>
      </c>
      <c r="G129" s="510">
        <f t="shared" si="43"/>
        <v>1648289.9950000001</v>
      </c>
      <c r="H129" s="464">
        <v>527</v>
      </c>
      <c r="I129" s="509">
        <f t="shared" si="49"/>
        <v>192355</v>
      </c>
      <c r="J129" s="483">
        <v>1.1000000000000001</v>
      </c>
      <c r="K129" s="511">
        <f t="shared" si="44"/>
        <v>211590.50000000003</v>
      </c>
      <c r="L129" s="512">
        <f t="shared" si="45"/>
        <v>203126.88000000003</v>
      </c>
      <c r="M129" s="512">
        <f t="shared" si="46"/>
        <v>1851416.8750000002</v>
      </c>
      <c r="N129" s="512">
        <f t="shared" si="47"/>
        <v>718011.3844354176</v>
      </c>
      <c r="O129" s="248"/>
      <c r="P129" s="470">
        <f t="shared" si="50"/>
        <v>78776.106178057249</v>
      </c>
    </row>
    <row r="130" spans="1:16" x14ac:dyDescent="0.3">
      <c r="A130" s="507">
        <v>15</v>
      </c>
      <c r="B130" s="508">
        <f t="shared" si="51"/>
        <v>2033</v>
      </c>
      <c r="C130" s="421">
        <v>10060.5</v>
      </c>
      <c r="D130" s="509">
        <f t="shared" si="52"/>
        <v>3672082.5</v>
      </c>
      <c r="E130" s="483">
        <v>1.1000000000000001</v>
      </c>
      <c r="F130" s="509">
        <f t="shared" si="42"/>
        <v>4039290.7500000005</v>
      </c>
      <c r="G130" s="510">
        <f t="shared" si="43"/>
        <v>1656109.2075</v>
      </c>
      <c r="H130" s="464">
        <v>529.5</v>
      </c>
      <c r="I130" s="509">
        <f t="shared" si="49"/>
        <v>193267.5</v>
      </c>
      <c r="J130" s="483">
        <v>1.1000000000000001</v>
      </c>
      <c r="K130" s="511">
        <f t="shared" si="44"/>
        <v>212594.25000000003</v>
      </c>
      <c r="L130" s="512">
        <f t="shared" si="45"/>
        <v>204090.48</v>
      </c>
      <c r="M130" s="512">
        <f t="shared" si="46"/>
        <v>1860199.6875</v>
      </c>
      <c r="N130" s="512">
        <f t="shared" si="47"/>
        <v>674221.97247433627</v>
      </c>
      <c r="O130" s="248"/>
      <c r="P130" s="470">
        <f t="shared" si="50"/>
        <v>73971.782122898614</v>
      </c>
    </row>
    <row r="131" spans="1:16" x14ac:dyDescent="0.3">
      <c r="A131" s="507">
        <v>16</v>
      </c>
      <c r="B131" s="508">
        <f t="shared" si="51"/>
        <v>2034</v>
      </c>
      <c r="C131" s="421">
        <v>10108</v>
      </c>
      <c r="D131" s="509">
        <f t="shared" si="52"/>
        <v>3689420</v>
      </c>
      <c r="E131" s="483">
        <v>1.1000000000000001</v>
      </c>
      <c r="F131" s="509">
        <f t="shared" si="42"/>
        <v>4058362.0000000005</v>
      </c>
      <c r="G131" s="510">
        <f t="shared" si="43"/>
        <v>1663928.4200000002</v>
      </c>
      <c r="H131" s="464">
        <v>532</v>
      </c>
      <c r="I131" s="509">
        <f t="shared" si="49"/>
        <v>194180</v>
      </c>
      <c r="J131" s="483">
        <v>1.1000000000000001</v>
      </c>
      <c r="K131" s="511">
        <f t="shared" si="44"/>
        <v>213598.00000000003</v>
      </c>
      <c r="L131" s="512">
        <f t="shared" si="45"/>
        <v>205054.08000000002</v>
      </c>
      <c r="M131" s="512">
        <f t="shared" si="46"/>
        <v>1868982.5000000002</v>
      </c>
      <c r="N131" s="512">
        <f t="shared" si="47"/>
        <v>633089.03542638011</v>
      </c>
      <c r="O131" s="248"/>
      <c r="P131" s="470">
        <f t="shared" si="50"/>
        <v>69458.911315351404</v>
      </c>
    </row>
    <row r="132" spans="1:16" x14ac:dyDescent="0.3">
      <c r="A132" s="507">
        <v>17</v>
      </c>
      <c r="B132" s="508">
        <f t="shared" si="51"/>
        <v>2035</v>
      </c>
      <c r="C132" s="421">
        <v>10155.5</v>
      </c>
      <c r="D132" s="509">
        <f t="shared" si="52"/>
        <v>3706757.5</v>
      </c>
      <c r="E132" s="483">
        <v>1.1000000000000001</v>
      </c>
      <c r="F132" s="509">
        <f t="shared" si="42"/>
        <v>4077433.2500000005</v>
      </c>
      <c r="G132" s="510">
        <f t="shared" si="43"/>
        <v>1671747.6325000001</v>
      </c>
      <c r="H132" s="464">
        <v>534.5</v>
      </c>
      <c r="I132" s="509">
        <f t="shared" si="49"/>
        <v>195092.5</v>
      </c>
      <c r="J132" s="483">
        <v>1.1000000000000001</v>
      </c>
      <c r="K132" s="511">
        <f t="shared" si="44"/>
        <v>214601.75000000003</v>
      </c>
      <c r="L132" s="512">
        <f t="shared" si="45"/>
        <v>206017.68000000002</v>
      </c>
      <c r="M132" s="512">
        <f t="shared" si="46"/>
        <v>1877765.3125</v>
      </c>
      <c r="N132" s="512">
        <f t="shared" si="47"/>
        <v>594452.40923933685</v>
      </c>
      <c r="O132" s="248"/>
      <c r="P132" s="470">
        <f t="shared" si="50"/>
        <v>65219.921470830108</v>
      </c>
    </row>
    <row r="133" spans="1:16" x14ac:dyDescent="0.3">
      <c r="A133" s="507">
        <v>18</v>
      </c>
      <c r="B133" s="508">
        <f t="shared" si="51"/>
        <v>2036</v>
      </c>
      <c r="C133" s="421">
        <v>10203</v>
      </c>
      <c r="D133" s="509">
        <f t="shared" si="52"/>
        <v>3724095</v>
      </c>
      <c r="E133" s="483">
        <v>1.1000000000000001</v>
      </c>
      <c r="F133" s="509">
        <f t="shared" si="42"/>
        <v>4096504.5000000005</v>
      </c>
      <c r="G133" s="510">
        <f t="shared" si="43"/>
        <v>1679566.8450000002</v>
      </c>
      <c r="H133" s="464">
        <v>537</v>
      </c>
      <c r="I133" s="509">
        <f t="shared" si="49"/>
        <v>196005</v>
      </c>
      <c r="J133" s="483">
        <v>1.1000000000000001</v>
      </c>
      <c r="K133" s="511">
        <f t="shared" si="44"/>
        <v>215605.50000000003</v>
      </c>
      <c r="L133" s="512">
        <f t="shared" si="45"/>
        <v>206981.28000000003</v>
      </c>
      <c r="M133" s="512">
        <f t="shared" si="46"/>
        <v>1886548.1250000002</v>
      </c>
      <c r="N133" s="512">
        <f t="shared" si="47"/>
        <v>558161.51659166813</v>
      </c>
      <c r="O133" s="248"/>
      <c r="P133" s="470">
        <f t="shared" si="50"/>
        <v>61238.292106057306</v>
      </c>
    </row>
    <row r="134" spans="1:16" x14ac:dyDescent="0.3">
      <c r="A134" s="507">
        <v>19</v>
      </c>
      <c r="B134" s="508">
        <f t="shared" si="51"/>
        <v>2037</v>
      </c>
      <c r="C134" s="421">
        <v>10250.5</v>
      </c>
      <c r="D134" s="509">
        <f t="shared" si="52"/>
        <v>3741432.5</v>
      </c>
      <c r="E134" s="483">
        <v>1.1000000000000001</v>
      </c>
      <c r="F134" s="509">
        <f t="shared" si="42"/>
        <v>4115575.7500000005</v>
      </c>
      <c r="G134" s="510">
        <f t="shared" si="43"/>
        <v>1687386.0575000001</v>
      </c>
      <c r="H134" s="464">
        <v>539.5</v>
      </c>
      <c r="I134" s="509">
        <f t="shared" si="49"/>
        <v>196917.5</v>
      </c>
      <c r="J134" s="483">
        <v>1.1000000000000001</v>
      </c>
      <c r="K134" s="511">
        <f t="shared" si="44"/>
        <v>216609.25000000003</v>
      </c>
      <c r="L134" s="512">
        <f t="shared" si="45"/>
        <v>207944.88000000003</v>
      </c>
      <c r="M134" s="512">
        <f t="shared" si="46"/>
        <v>1895330.9375000002</v>
      </c>
      <c r="N134" s="512">
        <f t="shared" si="47"/>
        <v>524074.79803199664</v>
      </c>
      <c r="O134" s="248"/>
      <c r="P134" s="470">
        <f t="shared" si="50"/>
        <v>57498.492126939069</v>
      </c>
    </row>
    <row r="135" spans="1:16" x14ac:dyDescent="0.3">
      <c r="A135" s="507">
        <v>20</v>
      </c>
      <c r="B135" s="508">
        <f t="shared" si="51"/>
        <v>2038</v>
      </c>
      <c r="C135" s="421">
        <v>10298</v>
      </c>
      <c r="D135" s="509">
        <f t="shared" si="52"/>
        <v>3758770</v>
      </c>
      <c r="E135" s="483">
        <v>1.1000000000000001</v>
      </c>
      <c r="F135" s="509">
        <f t="shared" si="42"/>
        <v>4134647.0000000005</v>
      </c>
      <c r="G135" s="510">
        <f t="shared" si="43"/>
        <v>1695205.27</v>
      </c>
      <c r="H135" s="464">
        <v>542</v>
      </c>
      <c r="I135" s="509">
        <f t="shared" si="49"/>
        <v>197830</v>
      </c>
      <c r="J135" s="483">
        <v>1.1000000000000001</v>
      </c>
      <c r="K135" s="511">
        <f t="shared" si="44"/>
        <v>217613.00000000003</v>
      </c>
      <c r="L135" s="512">
        <f t="shared" si="45"/>
        <v>208908.48</v>
      </c>
      <c r="M135" s="512">
        <f t="shared" si="46"/>
        <v>1904113.75</v>
      </c>
      <c r="N135" s="512">
        <f t="shared" si="47"/>
        <v>492059.17651917611</v>
      </c>
      <c r="O135" s="248"/>
      <c r="P135" s="470">
        <f t="shared" si="50"/>
        <v>53985.921080961038</v>
      </c>
    </row>
    <row r="136" spans="1:16" x14ac:dyDescent="0.3">
      <c r="A136" s="507">
        <v>21</v>
      </c>
      <c r="B136" s="508">
        <f t="shared" si="51"/>
        <v>2039</v>
      </c>
      <c r="C136" s="421">
        <v>10336</v>
      </c>
      <c r="D136" s="509">
        <f t="shared" si="52"/>
        <v>3772640</v>
      </c>
      <c r="E136" s="483">
        <v>1.1000000000000001</v>
      </c>
      <c r="F136" s="509">
        <f t="shared" si="42"/>
        <v>4149904.0000000005</v>
      </c>
      <c r="G136" s="510">
        <f t="shared" si="43"/>
        <v>1701460.6400000001</v>
      </c>
      <c r="H136" s="464">
        <v>544</v>
      </c>
      <c r="I136" s="509">
        <f t="shared" si="49"/>
        <v>198560</v>
      </c>
      <c r="J136" s="483">
        <v>1.1000000000000001</v>
      </c>
      <c r="K136" s="511">
        <f t="shared" si="44"/>
        <v>218416.00000000003</v>
      </c>
      <c r="L136" s="512">
        <f t="shared" si="45"/>
        <v>209679.36000000002</v>
      </c>
      <c r="M136" s="512">
        <f t="shared" si="46"/>
        <v>1911140.0000000002</v>
      </c>
      <c r="N136" s="512">
        <f t="shared" si="47"/>
        <v>461565.32059597858</v>
      </c>
      <c r="O136" s="248"/>
      <c r="P136" s="470">
        <f t="shared" si="50"/>
        <v>50640.309459673073</v>
      </c>
    </row>
    <row r="137" spans="1:16" x14ac:dyDescent="0.3">
      <c r="A137" s="507">
        <v>22</v>
      </c>
      <c r="B137" s="508">
        <f t="shared" si="51"/>
        <v>2040</v>
      </c>
      <c r="C137" s="421">
        <v>10383.5</v>
      </c>
      <c r="D137" s="509">
        <f t="shared" si="52"/>
        <v>3789977.5</v>
      </c>
      <c r="E137" s="483">
        <v>1.1000000000000001</v>
      </c>
      <c r="F137" s="509">
        <f t="shared" si="42"/>
        <v>4168975.2500000005</v>
      </c>
      <c r="G137" s="510">
        <f t="shared" si="43"/>
        <v>1709279.8525</v>
      </c>
      <c r="H137" s="464">
        <v>546.5</v>
      </c>
      <c r="I137" s="509">
        <f t="shared" si="49"/>
        <v>199472.5</v>
      </c>
      <c r="J137" s="483">
        <v>1.1000000000000001</v>
      </c>
      <c r="K137" s="511">
        <f t="shared" si="44"/>
        <v>219419.75000000003</v>
      </c>
      <c r="L137" s="512">
        <f t="shared" si="45"/>
        <v>210642.96000000002</v>
      </c>
      <c r="M137" s="512">
        <f t="shared" si="46"/>
        <v>1919922.8125</v>
      </c>
      <c r="N137" s="512">
        <f t="shared" si="47"/>
        <v>433351.85490946652</v>
      </c>
      <c r="O137" s="248"/>
      <c r="P137" s="470">
        <f t="shared" si="50"/>
        <v>47544.889224352897</v>
      </c>
    </row>
    <row r="138" spans="1:16" x14ac:dyDescent="0.3">
      <c r="A138" s="507">
        <v>23</v>
      </c>
      <c r="B138" s="508">
        <f t="shared" si="51"/>
        <v>2041</v>
      </c>
      <c r="C138" s="421">
        <v>10431</v>
      </c>
      <c r="D138" s="509">
        <f t="shared" si="52"/>
        <v>3807315</v>
      </c>
      <c r="E138" s="483">
        <v>1.1000000000000001</v>
      </c>
      <c r="F138" s="509">
        <f t="shared" si="42"/>
        <v>4188046.5000000005</v>
      </c>
      <c r="G138" s="510">
        <f t="shared" si="43"/>
        <v>1717099.0650000002</v>
      </c>
      <c r="H138" s="464">
        <v>549</v>
      </c>
      <c r="I138" s="509">
        <f t="shared" si="49"/>
        <v>200385</v>
      </c>
      <c r="J138" s="483">
        <v>1.1000000000000001</v>
      </c>
      <c r="K138" s="511">
        <f t="shared" si="44"/>
        <v>220423.50000000003</v>
      </c>
      <c r="L138" s="512">
        <f t="shared" si="45"/>
        <v>211606.56000000003</v>
      </c>
      <c r="M138" s="512">
        <f t="shared" si="46"/>
        <v>1928705.6250000002</v>
      </c>
      <c r="N138" s="512">
        <f t="shared" si="47"/>
        <v>406854.44048412947</v>
      </c>
      <c r="O138" s="248"/>
      <c r="P138" s="470">
        <f t="shared" si="50"/>
        <v>44637.744327401633</v>
      </c>
    </row>
    <row r="139" spans="1:16" x14ac:dyDescent="0.3">
      <c r="A139" s="507">
        <v>24</v>
      </c>
      <c r="B139" s="508">
        <f t="shared" si="51"/>
        <v>2042</v>
      </c>
      <c r="C139" s="421">
        <v>10478.5</v>
      </c>
      <c r="D139" s="509">
        <f t="shared" si="52"/>
        <v>3824652.5</v>
      </c>
      <c r="E139" s="483">
        <v>1.1000000000000001</v>
      </c>
      <c r="F139" s="509">
        <f t="shared" si="42"/>
        <v>4207117.75</v>
      </c>
      <c r="G139" s="510">
        <f t="shared" si="43"/>
        <v>1724918.2774999999</v>
      </c>
      <c r="H139" s="464">
        <v>551.5</v>
      </c>
      <c r="I139" s="509">
        <f t="shared" si="49"/>
        <v>201297.5</v>
      </c>
      <c r="J139" s="483">
        <v>1.1000000000000001</v>
      </c>
      <c r="K139" s="511">
        <f t="shared" si="44"/>
        <v>221427.25000000003</v>
      </c>
      <c r="L139" s="512">
        <f t="shared" si="45"/>
        <v>212570.16000000003</v>
      </c>
      <c r="M139" s="512">
        <f t="shared" si="46"/>
        <v>1937488.4375</v>
      </c>
      <c r="N139" s="512">
        <f t="shared" si="47"/>
        <v>381969.29664299981</v>
      </c>
      <c r="O139" s="248"/>
      <c r="P139" s="470">
        <f t="shared" si="50"/>
        <v>41907.48854597484</v>
      </c>
    </row>
    <row r="140" spans="1:16" x14ac:dyDescent="0.3">
      <c r="A140" s="507">
        <v>25</v>
      </c>
      <c r="B140" s="508">
        <f t="shared" si="51"/>
        <v>2043</v>
      </c>
      <c r="C140" s="421">
        <v>10526</v>
      </c>
      <c r="D140" s="509">
        <f t="shared" si="52"/>
        <v>3841990</v>
      </c>
      <c r="E140" s="483">
        <v>1.1000000000000001</v>
      </c>
      <c r="F140" s="509">
        <f t="shared" si="42"/>
        <v>4226189</v>
      </c>
      <c r="G140" s="510">
        <f t="shared" si="43"/>
        <v>1732737.49</v>
      </c>
      <c r="H140" s="464">
        <v>554</v>
      </c>
      <c r="I140" s="509">
        <f t="shared" si="49"/>
        <v>202210</v>
      </c>
      <c r="J140" s="483">
        <v>1.1000000000000001</v>
      </c>
      <c r="K140" s="511">
        <f t="shared" si="44"/>
        <v>222431.00000000003</v>
      </c>
      <c r="L140" s="512">
        <f t="shared" si="45"/>
        <v>213533.76</v>
      </c>
      <c r="M140" s="512">
        <f t="shared" si="46"/>
        <v>1946271.25</v>
      </c>
      <c r="N140" s="512">
        <f t="shared" si="47"/>
        <v>358598.87704768113</v>
      </c>
      <c r="O140" s="248"/>
      <c r="P140" s="470">
        <f t="shared" si="50"/>
        <v>39343.4196532313</v>
      </c>
    </row>
    <row r="141" spans="1:16" x14ac:dyDescent="0.3">
      <c r="A141" s="507">
        <v>26</v>
      </c>
      <c r="B141" s="508">
        <f t="shared" si="51"/>
        <v>2044</v>
      </c>
      <c r="C141" s="421">
        <v>10573.5</v>
      </c>
      <c r="D141" s="509">
        <f t="shared" si="52"/>
        <v>3859327.5</v>
      </c>
      <c r="E141" s="483">
        <v>1.1000000000000001</v>
      </c>
      <c r="F141" s="509">
        <f t="shared" si="42"/>
        <v>4245260.25</v>
      </c>
      <c r="G141" s="510">
        <f t="shared" si="43"/>
        <v>1740556.7024999999</v>
      </c>
      <c r="H141" s="464">
        <v>556.5</v>
      </c>
      <c r="I141" s="509">
        <f t="shared" si="49"/>
        <v>203122.5</v>
      </c>
      <c r="J141" s="483">
        <v>1.1000000000000001</v>
      </c>
      <c r="K141" s="511">
        <f t="shared" si="44"/>
        <v>223434.75000000003</v>
      </c>
      <c r="L141" s="512">
        <f t="shared" si="45"/>
        <v>214497.36000000002</v>
      </c>
      <c r="M141" s="512">
        <f t="shared" si="46"/>
        <v>1955054.0625</v>
      </c>
      <c r="N141" s="512">
        <f t="shared" si="47"/>
        <v>336651.49815620395</v>
      </c>
      <c r="O141" s="248"/>
      <c r="P141" s="470">
        <f t="shared" si="50"/>
        <v>36935.478654852093</v>
      </c>
    </row>
    <row r="142" spans="1:16" x14ac:dyDescent="0.3">
      <c r="A142" s="507">
        <v>27</v>
      </c>
      <c r="B142" s="508">
        <f t="shared" si="51"/>
        <v>2045</v>
      </c>
      <c r="C142" s="421">
        <v>10621</v>
      </c>
      <c r="D142" s="509">
        <f t="shared" si="52"/>
        <v>3876665</v>
      </c>
      <c r="E142" s="483">
        <v>1.1000000000000001</v>
      </c>
      <c r="F142" s="509">
        <f t="shared" si="42"/>
        <v>4264331.5</v>
      </c>
      <c r="G142" s="510">
        <f t="shared" si="43"/>
        <v>1748375.9149999998</v>
      </c>
      <c r="H142" s="464">
        <v>559</v>
      </c>
      <c r="I142" s="509">
        <f t="shared" si="49"/>
        <v>204035</v>
      </c>
      <c r="J142" s="483">
        <v>1.1000000000000001</v>
      </c>
      <c r="K142" s="511">
        <f t="shared" si="44"/>
        <v>224438.50000000003</v>
      </c>
      <c r="L142" s="512">
        <f t="shared" si="45"/>
        <v>215460.96000000002</v>
      </c>
      <c r="M142" s="512">
        <f t="shared" si="46"/>
        <v>1963836.8749999998</v>
      </c>
      <c r="N142" s="512">
        <f t="shared" si="47"/>
        <v>316040.98961183958</v>
      </c>
      <c r="O142" s="248"/>
      <c r="P142" s="470">
        <f t="shared" si="50"/>
        <v>34674.211431698976</v>
      </c>
    </row>
    <row r="143" spans="1:16" x14ac:dyDescent="0.3">
      <c r="A143" s="507">
        <v>28</v>
      </c>
      <c r="B143" s="508">
        <f t="shared" si="51"/>
        <v>2046</v>
      </c>
      <c r="C143" s="421">
        <v>10668.5</v>
      </c>
      <c r="D143" s="509">
        <f t="shared" si="52"/>
        <v>3894002.5</v>
      </c>
      <c r="E143" s="483">
        <v>1.1000000000000001</v>
      </c>
      <c r="F143" s="509">
        <f t="shared" si="42"/>
        <v>4283402.75</v>
      </c>
      <c r="G143" s="510">
        <f t="shared" si="43"/>
        <v>1756195.1274999999</v>
      </c>
      <c r="H143" s="464">
        <v>561.5</v>
      </c>
      <c r="I143" s="509">
        <f t="shared" si="49"/>
        <v>204947.5</v>
      </c>
      <c r="J143" s="483">
        <v>1.1000000000000001</v>
      </c>
      <c r="K143" s="511">
        <f t="shared" si="44"/>
        <v>225442.25000000003</v>
      </c>
      <c r="L143" s="512">
        <f t="shared" si="45"/>
        <v>216424.56000000003</v>
      </c>
      <c r="M143" s="512">
        <f t="shared" si="46"/>
        <v>1972619.6875</v>
      </c>
      <c r="N143" s="512">
        <f t="shared" si="47"/>
        <v>296686.36528354703</v>
      </c>
      <c r="O143" s="248"/>
      <c r="P143" s="470">
        <f t="shared" si="50"/>
        <v>32550.732648252018</v>
      </c>
    </row>
    <row r="144" spans="1:16" x14ac:dyDescent="0.3">
      <c r="A144" s="507">
        <v>29</v>
      </c>
      <c r="B144" s="508">
        <f t="shared" si="51"/>
        <v>2047</v>
      </c>
      <c r="C144" s="421">
        <v>10716</v>
      </c>
      <c r="D144" s="509">
        <f t="shared" si="52"/>
        <v>3911340</v>
      </c>
      <c r="E144" s="483">
        <v>1.1000000000000001</v>
      </c>
      <c r="F144" s="509">
        <f t="shared" si="42"/>
        <v>4302474</v>
      </c>
      <c r="G144" s="510">
        <f t="shared" si="43"/>
        <v>1764014.3399999999</v>
      </c>
      <c r="H144" s="464">
        <v>564</v>
      </c>
      <c r="I144" s="509">
        <f t="shared" si="49"/>
        <v>205860</v>
      </c>
      <c r="J144" s="483">
        <v>1.1000000000000001</v>
      </c>
      <c r="K144" s="511">
        <f t="shared" si="44"/>
        <v>226446.00000000003</v>
      </c>
      <c r="L144" s="512">
        <f t="shared" si="45"/>
        <v>217388.16000000003</v>
      </c>
      <c r="M144" s="512">
        <f t="shared" si="46"/>
        <v>1981402.5</v>
      </c>
      <c r="N144" s="512">
        <f t="shared" si="47"/>
        <v>278511.51375224994</v>
      </c>
      <c r="O144" s="248"/>
      <c r="P144" s="470">
        <f t="shared" si="50"/>
        <v>30556.691794532566</v>
      </c>
    </row>
    <row r="145" spans="1:16" x14ac:dyDescent="0.3">
      <c r="A145" s="507">
        <f>1+A144</f>
        <v>30</v>
      </c>
      <c r="B145" s="508">
        <f t="shared" si="51"/>
        <v>2048</v>
      </c>
      <c r="C145" s="421">
        <v>10763.5</v>
      </c>
      <c r="D145" s="509">
        <f t="shared" si="52"/>
        <v>3928677.5</v>
      </c>
      <c r="E145" s="483">
        <v>1.1000000000000001</v>
      </c>
      <c r="F145" s="509">
        <f t="shared" si="42"/>
        <v>4321545.25</v>
      </c>
      <c r="G145" s="510">
        <f t="shared" si="43"/>
        <v>1771833.5525</v>
      </c>
      <c r="H145" s="464">
        <v>566.5</v>
      </c>
      <c r="I145" s="509">
        <f t="shared" si="49"/>
        <v>206772.5</v>
      </c>
      <c r="J145" s="483">
        <v>1.1000000000000001</v>
      </c>
      <c r="K145" s="511">
        <f t="shared" si="44"/>
        <v>227449.75000000003</v>
      </c>
      <c r="L145" s="512">
        <f t="shared" si="45"/>
        <v>218351.76</v>
      </c>
      <c r="M145" s="512">
        <f t="shared" si="46"/>
        <v>1990185.3125</v>
      </c>
      <c r="N145" s="512">
        <f t="shared" si="47"/>
        <v>261444.90710653143</v>
      </c>
      <c r="O145" s="248"/>
      <c r="P145" s="470">
        <f t="shared" si="50"/>
        <v>28684.241236830876</v>
      </c>
    </row>
    <row r="146" spans="1:16" ht="16.8" thickBot="1" x14ac:dyDescent="0.35">
      <c r="A146" s="515">
        <f>1+A145</f>
        <v>31</v>
      </c>
      <c r="B146" s="516">
        <f t="shared" si="51"/>
        <v>2049</v>
      </c>
      <c r="C146" s="421">
        <v>10763.5</v>
      </c>
      <c r="D146" s="518">
        <f t="shared" si="52"/>
        <v>3928677.5</v>
      </c>
      <c r="E146" s="483">
        <v>1.1000000000000001</v>
      </c>
      <c r="F146" s="518">
        <f t="shared" si="42"/>
        <v>4321545.25</v>
      </c>
      <c r="G146" s="510">
        <f t="shared" si="43"/>
        <v>1771833.5525</v>
      </c>
      <c r="H146" s="464">
        <v>566.5</v>
      </c>
      <c r="I146" s="518">
        <f t="shared" si="49"/>
        <v>206772.5</v>
      </c>
      <c r="J146" s="483">
        <v>1.1000000000000001</v>
      </c>
      <c r="K146" s="520">
        <f t="shared" si="44"/>
        <v>227449.75000000003</v>
      </c>
      <c r="L146" s="512">
        <f t="shared" si="45"/>
        <v>218351.76</v>
      </c>
      <c r="M146" s="521">
        <f t="shared" si="46"/>
        <v>1990185.3125</v>
      </c>
      <c r="N146" s="521">
        <f t="shared" si="47"/>
        <v>244341.03467900128</v>
      </c>
      <c r="O146" s="248"/>
      <c r="P146" s="470">
        <f t="shared" si="50"/>
        <v>26807.702090496143</v>
      </c>
    </row>
    <row r="147" spans="1:16" ht="16.8" thickBot="1" x14ac:dyDescent="0.35">
      <c r="A147" s="148" t="s">
        <v>40</v>
      </c>
      <c r="B147" s="149"/>
      <c r="C147" s="27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50">
        <f>SUM(N115:N146)</f>
        <v>14484066.390819231</v>
      </c>
      <c r="O147" s="248"/>
      <c r="P147" s="475">
        <f>SUM(P115:P144)</f>
        <v>1533617.0549796973</v>
      </c>
    </row>
    <row r="149" spans="1:16" x14ac:dyDescent="0.25">
      <c r="A149" s="587" t="s">
        <v>178</v>
      </c>
      <c r="B149" s="588"/>
      <c r="C149" s="588"/>
      <c r="D149" s="588"/>
      <c r="E149" s="588"/>
      <c r="F149" s="588"/>
      <c r="G149" s="588"/>
      <c r="H149" s="588"/>
      <c r="I149" s="588"/>
      <c r="J149" s="588"/>
      <c r="K149" s="588"/>
      <c r="L149" s="588"/>
      <c r="M149" s="588"/>
      <c r="N149" s="589"/>
      <c r="O149" s="248"/>
      <c r="P149" s="191"/>
    </row>
    <row r="150" spans="1:16" x14ac:dyDescent="0.3">
      <c r="A150" s="503" t="s">
        <v>145</v>
      </c>
      <c r="B150" s="503" t="s">
        <v>146</v>
      </c>
      <c r="C150" s="503" t="s">
        <v>147</v>
      </c>
      <c r="D150" s="503" t="s">
        <v>148</v>
      </c>
      <c r="E150" s="503" t="s">
        <v>149</v>
      </c>
      <c r="F150" s="503" t="s">
        <v>150</v>
      </c>
      <c r="G150" s="503" t="s">
        <v>151</v>
      </c>
      <c r="H150" s="503" t="s">
        <v>152</v>
      </c>
      <c r="I150" s="503" t="s">
        <v>153</v>
      </c>
      <c r="J150" s="503" t="s">
        <v>154</v>
      </c>
      <c r="K150" s="503" t="s">
        <v>155</v>
      </c>
      <c r="L150" s="503" t="s">
        <v>88</v>
      </c>
      <c r="M150" s="503" t="s">
        <v>156</v>
      </c>
      <c r="N150" s="503" t="s">
        <v>157</v>
      </c>
      <c r="O150" s="248"/>
      <c r="P150" s="485" t="s">
        <v>160</v>
      </c>
    </row>
    <row r="151" spans="1:16" ht="43.2" x14ac:dyDescent="0.3">
      <c r="A151" s="504" t="s">
        <v>29</v>
      </c>
      <c r="B151" s="505" t="s">
        <v>30</v>
      </c>
      <c r="C151" s="506" t="s">
        <v>225</v>
      </c>
      <c r="D151" s="506" t="s">
        <v>256</v>
      </c>
      <c r="E151" s="506" t="s">
        <v>183</v>
      </c>
      <c r="F151" s="506" t="s">
        <v>184</v>
      </c>
      <c r="G151" s="505" t="s">
        <v>257</v>
      </c>
      <c r="H151" s="506" t="s">
        <v>226</v>
      </c>
      <c r="I151" s="506" t="s">
        <v>258</v>
      </c>
      <c r="J151" s="506" t="s">
        <v>183</v>
      </c>
      <c r="K151" s="506" t="s">
        <v>184</v>
      </c>
      <c r="L151" s="505" t="s">
        <v>259</v>
      </c>
      <c r="M151" s="504" t="s">
        <v>260</v>
      </c>
      <c r="N151" s="504" t="s">
        <v>32</v>
      </c>
      <c r="O151" s="248"/>
      <c r="P151" s="462" t="s">
        <v>173</v>
      </c>
    </row>
    <row r="152" spans="1:16" x14ac:dyDescent="0.3">
      <c r="A152" s="507">
        <v>0</v>
      </c>
      <c r="B152" s="508">
        <v>2018</v>
      </c>
      <c r="C152" s="421">
        <v>13557.5</v>
      </c>
      <c r="D152" s="509">
        <f>C152*365</f>
        <v>4948487.5</v>
      </c>
      <c r="E152" s="483">
        <v>0</v>
      </c>
      <c r="F152" s="509">
        <f t="shared" ref="F152:F183" si="53">D152*E152</f>
        <v>0</v>
      </c>
      <c r="G152" s="510">
        <f t="shared" ref="G152:G183" si="54">F152*0.41</f>
        <v>0</v>
      </c>
      <c r="H152" s="464">
        <v>2392.5</v>
      </c>
      <c r="I152" s="509">
        <f>H152*365</f>
        <v>873262.5</v>
      </c>
      <c r="J152" s="483">
        <v>0</v>
      </c>
      <c r="K152" s="511">
        <f t="shared" ref="K152:K183" si="55">I152*J152</f>
        <v>0</v>
      </c>
      <c r="L152" s="512">
        <f t="shared" ref="L152:L183" si="56">K152*0.96</f>
        <v>0</v>
      </c>
      <c r="M152" s="512">
        <f t="shared" ref="M152:M183" si="57">G152+L152</f>
        <v>0</v>
      </c>
      <c r="N152" s="512">
        <f t="shared" ref="N152:N183" si="58">M152/(1+0.07)^A152</f>
        <v>0</v>
      </c>
      <c r="O152" s="248"/>
      <c r="P152" s="470">
        <f>L152/(1+0.07)^A152</f>
        <v>0</v>
      </c>
    </row>
    <row r="153" spans="1:16" x14ac:dyDescent="0.3">
      <c r="A153" s="507">
        <v>1</v>
      </c>
      <c r="B153" s="508">
        <f>1+B152</f>
        <v>2019</v>
      </c>
      <c r="C153" s="421">
        <v>13625.5</v>
      </c>
      <c r="D153" s="509">
        <f t="shared" ref="D153:D161" si="59">C153*365</f>
        <v>4973307.5</v>
      </c>
      <c r="E153" s="483">
        <v>0</v>
      </c>
      <c r="F153" s="509">
        <f t="shared" si="53"/>
        <v>0</v>
      </c>
      <c r="G153" s="510">
        <f t="shared" si="54"/>
        <v>0</v>
      </c>
      <c r="H153" s="464">
        <v>2404.5</v>
      </c>
      <c r="I153" s="509">
        <f t="shared" ref="I153:I183" si="60">H153*365</f>
        <v>877642.5</v>
      </c>
      <c r="J153" s="483">
        <v>0</v>
      </c>
      <c r="K153" s="511">
        <f t="shared" si="55"/>
        <v>0</v>
      </c>
      <c r="L153" s="512">
        <f t="shared" si="56"/>
        <v>0</v>
      </c>
      <c r="M153" s="512">
        <f t="shared" si="57"/>
        <v>0</v>
      </c>
      <c r="N153" s="512">
        <f t="shared" si="58"/>
        <v>0</v>
      </c>
      <c r="O153" s="248"/>
      <c r="P153" s="470">
        <f t="shared" ref="P153:P183" si="61">L153/(1+0.07)^A153</f>
        <v>0</v>
      </c>
    </row>
    <row r="154" spans="1:16" x14ac:dyDescent="0.3">
      <c r="A154" s="507">
        <v>2</v>
      </c>
      <c r="B154" s="508">
        <f t="shared" ref="B154:B183" si="62">1+B153</f>
        <v>2020</v>
      </c>
      <c r="C154" s="421">
        <v>13693.5</v>
      </c>
      <c r="D154" s="509">
        <f t="shared" si="59"/>
        <v>4998127.5</v>
      </c>
      <c r="E154" s="483">
        <v>0</v>
      </c>
      <c r="F154" s="509">
        <f t="shared" si="53"/>
        <v>0</v>
      </c>
      <c r="G154" s="510">
        <f t="shared" si="54"/>
        <v>0</v>
      </c>
      <c r="H154" s="464">
        <v>2416.5</v>
      </c>
      <c r="I154" s="509">
        <f t="shared" si="60"/>
        <v>882022.5</v>
      </c>
      <c r="J154" s="483">
        <v>0</v>
      </c>
      <c r="K154" s="511">
        <f t="shared" si="55"/>
        <v>0</v>
      </c>
      <c r="L154" s="512">
        <f t="shared" si="56"/>
        <v>0</v>
      </c>
      <c r="M154" s="512">
        <f t="shared" si="57"/>
        <v>0</v>
      </c>
      <c r="N154" s="512">
        <f t="shared" si="58"/>
        <v>0</v>
      </c>
      <c r="O154" s="248"/>
      <c r="P154" s="470">
        <f t="shared" si="61"/>
        <v>0</v>
      </c>
    </row>
    <row r="155" spans="1:16" x14ac:dyDescent="0.3">
      <c r="A155" s="507">
        <v>3</v>
      </c>
      <c r="B155" s="508">
        <f t="shared" si="62"/>
        <v>2021</v>
      </c>
      <c r="C155" s="421">
        <v>13770</v>
      </c>
      <c r="D155" s="509">
        <f t="shared" si="59"/>
        <v>5026050</v>
      </c>
      <c r="E155" s="483">
        <v>0</v>
      </c>
      <c r="F155" s="509">
        <f t="shared" si="53"/>
        <v>0</v>
      </c>
      <c r="G155" s="510">
        <f t="shared" si="54"/>
        <v>0</v>
      </c>
      <c r="H155" s="464">
        <v>2430</v>
      </c>
      <c r="I155" s="509">
        <f t="shared" si="60"/>
        <v>886950</v>
      </c>
      <c r="J155" s="483">
        <v>0</v>
      </c>
      <c r="K155" s="511">
        <f t="shared" si="55"/>
        <v>0</v>
      </c>
      <c r="L155" s="512">
        <f t="shared" si="56"/>
        <v>0</v>
      </c>
      <c r="M155" s="512">
        <f t="shared" si="57"/>
        <v>0</v>
      </c>
      <c r="N155" s="512">
        <f t="shared" si="58"/>
        <v>0</v>
      </c>
      <c r="O155" s="248"/>
      <c r="P155" s="470">
        <f t="shared" si="61"/>
        <v>0</v>
      </c>
    </row>
    <row r="156" spans="1:16" x14ac:dyDescent="0.3">
      <c r="A156" s="507">
        <v>4</v>
      </c>
      <c r="B156" s="508">
        <f t="shared" si="62"/>
        <v>2022</v>
      </c>
      <c r="C156" s="421">
        <v>13838</v>
      </c>
      <c r="D156" s="509">
        <f t="shared" si="59"/>
        <v>5050870</v>
      </c>
      <c r="E156" s="483">
        <v>0</v>
      </c>
      <c r="F156" s="509">
        <f t="shared" si="53"/>
        <v>0</v>
      </c>
      <c r="G156" s="510">
        <f t="shared" si="54"/>
        <v>0</v>
      </c>
      <c r="H156" s="464">
        <v>2442</v>
      </c>
      <c r="I156" s="509">
        <f t="shared" si="60"/>
        <v>891330</v>
      </c>
      <c r="J156" s="483">
        <v>0</v>
      </c>
      <c r="K156" s="511">
        <f t="shared" si="55"/>
        <v>0</v>
      </c>
      <c r="L156" s="512">
        <f t="shared" si="56"/>
        <v>0</v>
      </c>
      <c r="M156" s="512">
        <f t="shared" si="57"/>
        <v>0</v>
      </c>
      <c r="N156" s="512">
        <f t="shared" si="58"/>
        <v>0</v>
      </c>
      <c r="O156" s="248"/>
      <c r="P156" s="470">
        <f t="shared" si="61"/>
        <v>0</v>
      </c>
    </row>
    <row r="157" spans="1:16" x14ac:dyDescent="0.3">
      <c r="A157" s="507">
        <v>5</v>
      </c>
      <c r="B157" s="508">
        <f t="shared" si="62"/>
        <v>2023</v>
      </c>
      <c r="C157" s="421">
        <v>13906</v>
      </c>
      <c r="D157" s="509">
        <f t="shared" si="59"/>
        <v>5075690</v>
      </c>
      <c r="E157" s="483">
        <v>0</v>
      </c>
      <c r="F157" s="509">
        <f t="shared" si="53"/>
        <v>0</v>
      </c>
      <c r="G157" s="510">
        <f t="shared" si="54"/>
        <v>0</v>
      </c>
      <c r="H157" s="464">
        <v>2454</v>
      </c>
      <c r="I157" s="509">
        <f t="shared" si="60"/>
        <v>895710</v>
      </c>
      <c r="J157" s="483">
        <v>0</v>
      </c>
      <c r="K157" s="511">
        <f t="shared" si="55"/>
        <v>0</v>
      </c>
      <c r="L157" s="512">
        <f t="shared" si="56"/>
        <v>0</v>
      </c>
      <c r="M157" s="512">
        <f t="shared" si="57"/>
        <v>0</v>
      </c>
      <c r="N157" s="512">
        <f t="shared" si="58"/>
        <v>0</v>
      </c>
      <c r="O157" s="248"/>
      <c r="P157" s="470">
        <f t="shared" si="61"/>
        <v>0</v>
      </c>
    </row>
    <row r="158" spans="1:16" x14ac:dyDescent="0.3">
      <c r="A158" s="507">
        <v>6</v>
      </c>
      <c r="B158" s="508">
        <f t="shared" si="62"/>
        <v>2024</v>
      </c>
      <c r="C158" s="421">
        <v>13974</v>
      </c>
      <c r="D158" s="509">
        <f t="shared" si="59"/>
        <v>5100510</v>
      </c>
      <c r="E158" s="483">
        <v>0</v>
      </c>
      <c r="F158" s="509">
        <f t="shared" si="53"/>
        <v>0</v>
      </c>
      <c r="G158" s="510">
        <f t="shared" si="54"/>
        <v>0</v>
      </c>
      <c r="H158" s="464">
        <v>2466</v>
      </c>
      <c r="I158" s="509">
        <f t="shared" si="60"/>
        <v>900090</v>
      </c>
      <c r="J158" s="483">
        <v>0</v>
      </c>
      <c r="K158" s="511">
        <f t="shared" si="55"/>
        <v>0</v>
      </c>
      <c r="L158" s="512">
        <f t="shared" si="56"/>
        <v>0</v>
      </c>
      <c r="M158" s="512">
        <f t="shared" si="57"/>
        <v>0</v>
      </c>
      <c r="N158" s="512">
        <f t="shared" si="58"/>
        <v>0</v>
      </c>
      <c r="O158" s="248"/>
      <c r="P158" s="470">
        <f t="shared" si="61"/>
        <v>0</v>
      </c>
    </row>
    <row r="159" spans="1:16" x14ac:dyDescent="0.3">
      <c r="A159" s="507">
        <v>7</v>
      </c>
      <c r="B159" s="508">
        <f t="shared" si="62"/>
        <v>2025</v>
      </c>
      <c r="C159" s="421">
        <v>14042</v>
      </c>
      <c r="D159" s="509">
        <f t="shared" si="59"/>
        <v>5125330</v>
      </c>
      <c r="E159" s="483">
        <v>2.2000000000000002</v>
      </c>
      <c r="F159" s="509">
        <f t="shared" si="53"/>
        <v>11275726</v>
      </c>
      <c r="G159" s="510">
        <f t="shared" si="54"/>
        <v>4623047.66</v>
      </c>
      <c r="H159" s="464">
        <v>2478</v>
      </c>
      <c r="I159" s="509">
        <f t="shared" si="60"/>
        <v>904470</v>
      </c>
      <c r="J159" s="483">
        <v>2.2000000000000002</v>
      </c>
      <c r="K159" s="511">
        <f t="shared" si="55"/>
        <v>1989834.0000000002</v>
      </c>
      <c r="L159" s="512">
        <f t="shared" si="56"/>
        <v>1910240.6400000001</v>
      </c>
      <c r="M159" s="514">
        <f t="shared" si="57"/>
        <v>6533288.3000000007</v>
      </c>
      <c r="N159" s="512">
        <f t="shared" si="58"/>
        <v>4068603.6024826197</v>
      </c>
      <c r="O159" s="248"/>
      <c r="P159" s="470">
        <f t="shared" si="61"/>
        <v>1189601.8654974562</v>
      </c>
    </row>
    <row r="160" spans="1:16" x14ac:dyDescent="0.3">
      <c r="A160" s="507">
        <v>8</v>
      </c>
      <c r="B160" s="508">
        <f t="shared" si="62"/>
        <v>2026</v>
      </c>
      <c r="C160" s="421">
        <v>14118.5</v>
      </c>
      <c r="D160" s="509">
        <f t="shared" si="59"/>
        <v>5153252.5</v>
      </c>
      <c r="E160" s="483">
        <v>2.2000000000000002</v>
      </c>
      <c r="F160" s="509">
        <f t="shared" si="53"/>
        <v>11337155.5</v>
      </c>
      <c r="G160" s="510">
        <f t="shared" si="54"/>
        <v>4648233.7549999999</v>
      </c>
      <c r="H160" s="464">
        <v>2491.5</v>
      </c>
      <c r="I160" s="509">
        <f t="shared" si="60"/>
        <v>909397.5</v>
      </c>
      <c r="J160" s="483">
        <v>2.2000000000000002</v>
      </c>
      <c r="K160" s="511">
        <f t="shared" si="55"/>
        <v>2000674.5000000002</v>
      </c>
      <c r="L160" s="512">
        <f t="shared" si="56"/>
        <v>1920647.5200000003</v>
      </c>
      <c r="M160" s="512">
        <f t="shared" si="57"/>
        <v>6568881.2750000004</v>
      </c>
      <c r="N160" s="512">
        <f t="shared" si="58"/>
        <v>3823148.7088567982</v>
      </c>
      <c r="O160" s="248"/>
      <c r="P160" s="470">
        <f t="shared" si="61"/>
        <v>1117834.343300262</v>
      </c>
    </row>
    <row r="161" spans="1:16" x14ac:dyDescent="0.3">
      <c r="A161" s="507">
        <v>9</v>
      </c>
      <c r="B161" s="508">
        <f t="shared" si="62"/>
        <v>2027</v>
      </c>
      <c r="C161" s="421">
        <v>14186.5</v>
      </c>
      <c r="D161" s="509">
        <f t="shared" si="59"/>
        <v>5178072.5</v>
      </c>
      <c r="E161" s="483">
        <v>2.2000000000000002</v>
      </c>
      <c r="F161" s="509">
        <f t="shared" si="53"/>
        <v>11391759.5</v>
      </c>
      <c r="G161" s="510">
        <f t="shared" si="54"/>
        <v>4670621.3949999996</v>
      </c>
      <c r="H161" s="464">
        <v>2503.5</v>
      </c>
      <c r="I161" s="509">
        <f t="shared" si="60"/>
        <v>913777.5</v>
      </c>
      <c r="J161" s="483">
        <v>2.2000000000000002</v>
      </c>
      <c r="K161" s="511">
        <f t="shared" si="55"/>
        <v>2010310.5000000002</v>
      </c>
      <c r="L161" s="512">
        <f t="shared" si="56"/>
        <v>1929898.08</v>
      </c>
      <c r="M161" s="512">
        <f t="shared" si="57"/>
        <v>6600519.4749999996</v>
      </c>
      <c r="N161" s="512">
        <f t="shared" si="58"/>
        <v>3590245.2610363057</v>
      </c>
      <c r="O161" s="248"/>
      <c r="P161" s="470">
        <f t="shared" si="61"/>
        <v>1049736.6854603614</v>
      </c>
    </row>
    <row r="162" spans="1:16" x14ac:dyDescent="0.3">
      <c r="A162" s="507">
        <v>10</v>
      </c>
      <c r="B162" s="508">
        <f t="shared" si="62"/>
        <v>2028</v>
      </c>
      <c r="C162" s="421">
        <v>14254.5</v>
      </c>
      <c r="D162" s="509">
        <f>C162*365</f>
        <v>5202892.5</v>
      </c>
      <c r="E162" s="483">
        <v>2.2000000000000002</v>
      </c>
      <c r="F162" s="509">
        <f t="shared" si="53"/>
        <v>11446363.5</v>
      </c>
      <c r="G162" s="510">
        <f t="shared" si="54"/>
        <v>4693009.0350000001</v>
      </c>
      <c r="H162" s="464">
        <v>2515.5</v>
      </c>
      <c r="I162" s="509">
        <f t="shared" si="60"/>
        <v>918157.5</v>
      </c>
      <c r="J162" s="483">
        <v>2.2000000000000002</v>
      </c>
      <c r="K162" s="511">
        <f t="shared" si="55"/>
        <v>2019946.5000000002</v>
      </c>
      <c r="L162" s="512">
        <f t="shared" si="56"/>
        <v>1939148.6400000001</v>
      </c>
      <c r="M162" s="512">
        <f t="shared" si="57"/>
        <v>6632157.6750000007</v>
      </c>
      <c r="N162" s="512">
        <f t="shared" si="58"/>
        <v>3371452.659412086</v>
      </c>
      <c r="O162" s="248"/>
      <c r="P162" s="470">
        <f t="shared" si="61"/>
        <v>985764.83848800079</v>
      </c>
    </row>
    <row r="163" spans="1:16" x14ac:dyDescent="0.3">
      <c r="A163" s="507">
        <v>11</v>
      </c>
      <c r="B163" s="508">
        <f t="shared" si="62"/>
        <v>2029</v>
      </c>
      <c r="C163" s="421">
        <v>14322.5</v>
      </c>
      <c r="D163" s="509">
        <f t="shared" ref="D163:D183" si="63">C163*365</f>
        <v>5227712.5</v>
      </c>
      <c r="E163" s="483">
        <v>2.2000000000000002</v>
      </c>
      <c r="F163" s="509">
        <f t="shared" si="53"/>
        <v>11500967.5</v>
      </c>
      <c r="G163" s="510">
        <f t="shared" si="54"/>
        <v>4715396.6749999998</v>
      </c>
      <c r="H163" s="464">
        <v>2527.5</v>
      </c>
      <c r="I163" s="509">
        <f t="shared" si="60"/>
        <v>922537.5</v>
      </c>
      <c r="J163" s="483">
        <v>2.2000000000000002</v>
      </c>
      <c r="K163" s="511">
        <f t="shared" si="55"/>
        <v>2029582.5000000002</v>
      </c>
      <c r="L163" s="512">
        <f t="shared" si="56"/>
        <v>1948399.2000000002</v>
      </c>
      <c r="M163" s="512">
        <f t="shared" si="57"/>
        <v>6663795.875</v>
      </c>
      <c r="N163" s="512">
        <f t="shared" si="58"/>
        <v>3165921.416809815</v>
      </c>
      <c r="O163" s="248"/>
      <c r="P163" s="470">
        <f t="shared" si="61"/>
        <v>925670.42440733686</v>
      </c>
    </row>
    <row r="164" spans="1:16" x14ac:dyDescent="0.3">
      <c r="A164" s="507">
        <v>12</v>
      </c>
      <c r="B164" s="508">
        <f t="shared" si="62"/>
        <v>2030</v>
      </c>
      <c r="C164" s="421">
        <v>14390.5</v>
      </c>
      <c r="D164" s="509">
        <f t="shared" si="63"/>
        <v>5252532.5</v>
      </c>
      <c r="E164" s="483">
        <v>2.2000000000000002</v>
      </c>
      <c r="F164" s="509">
        <f t="shared" si="53"/>
        <v>11555571.500000002</v>
      </c>
      <c r="G164" s="510">
        <f t="shared" si="54"/>
        <v>4737784.3150000004</v>
      </c>
      <c r="H164" s="464">
        <v>2539.5</v>
      </c>
      <c r="I164" s="509">
        <f t="shared" si="60"/>
        <v>926917.5</v>
      </c>
      <c r="J164" s="483">
        <v>2.2000000000000002</v>
      </c>
      <c r="K164" s="511">
        <f t="shared" si="55"/>
        <v>2039218.5000000002</v>
      </c>
      <c r="L164" s="512">
        <f t="shared" si="56"/>
        <v>1957649.7600000002</v>
      </c>
      <c r="M164" s="512">
        <f t="shared" si="57"/>
        <v>6695434.0750000011</v>
      </c>
      <c r="N164" s="512">
        <f t="shared" si="58"/>
        <v>2972852.8016079306</v>
      </c>
      <c r="O164" s="248"/>
      <c r="P164" s="470">
        <f t="shared" si="61"/>
        <v>869219.90544475534</v>
      </c>
    </row>
    <row r="165" spans="1:16" x14ac:dyDescent="0.3">
      <c r="A165" s="507">
        <v>13</v>
      </c>
      <c r="B165" s="508">
        <f t="shared" si="62"/>
        <v>2031</v>
      </c>
      <c r="C165" s="421">
        <v>14458.5</v>
      </c>
      <c r="D165" s="509">
        <f t="shared" si="63"/>
        <v>5277352.5</v>
      </c>
      <c r="E165" s="483">
        <v>2.2000000000000002</v>
      </c>
      <c r="F165" s="509">
        <f t="shared" si="53"/>
        <v>11610175.500000002</v>
      </c>
      <c r="G165" s="510">
        <f t="shared" si="54"/>
        <v>4760171.9550000001</v>
      </c>
      <c r="H165" s="464">
        <v>2551.5</v>
      </c>
      <c r="I165" s="509">
        <f t="shared" si="60"/>
        <v>931297.5</v>
      </c>
      <c r="J165" s="483">
        <v>2.2000000000000002</v>
      </c>
      <c r="K165" s="511">
        <f t="shared" si="55"/>
        <v>2048854.5000000002</v>
      </c>
      <c r="L165" s="512">
        <f t="shared" si="56"/>
        <v>1966900.32</v>
      </c>
      <c r="M165" s="512">
        <f t="shared" si="57"/>
        <v>6727072.2750000004</v>
      </c>
      <c r="N165" s="512">
        <f t="shared" si="58"/>
        <v>2791495.8325016638</v>
      </c>
      <c r="O165" s="248"/>
      <c r="P165" s="470">
        <f t="shared" si="61"/>
        <v>816193.705340588</v>
      </c>
    </row>
    <row r="166" spans="1:16" x14ac:dyDescent="0.3">
      <c r="A166" s="507">
        <v>14</v>
      </c>
      <c r="B166" s="508">
        <f t="shared" si="62"/>
        <v>2032</v>
      </c>
      <c r="C166" s="421">
        <v>14535</v>
      </c>
      <c r="D166" s="509">
        <f t="shared" si="63"/>
        <v>5305275</v>
      </c>
      <c r="E166" s="483">
        <v>2.2000000000000002</v>
      </c>
      <c r="F166" s="509">
        <f t="shared" si="53"/>
        <v>11671605.000000002</v>
      </c>
      <c r="G166" s="510">
        <f t="shared" si="54"/>
        <v>4785358.0500000007</v>
      </c>
      <c r="H166" s="464">
        <v>2565</v>
      </c>
      <c r="I166" s="509">
        <f t="shared" si="60"/>
        <v>936225</v>
      </c>
      <c r="J166" s="483">
        <v>2.2000000000000002</v>
      </c>
      <c r="K166" s="511">
        <f t="shared" si="55"/>
        <v>2059695.0000000002</v>
      </c>
      <c r="L166" s="512">
        <f t="shared" si="56"/>
        <v>1977307.2000000002</v>
      </c>
      <c r="M166" s="512">
        <f t="shared" si="57"/>
        <v>6762665.2500000009</v>
      </c>
      <c r="N166" s="512">
        <f t="shared" si="58"/>
        <v>2622678.179178738</v>
      </c>
      <c r="O166" s="248"/>
      <c r="P166" s="470">
        <f t="shared" si="61"/>
        <v>766833.82294769189</v>
      </c>
    </row>
    <row r="167" spans="1:16" x14ac:dyDescent="0.3">
      <c r="A167" s="507">
        <v>15</v>
      </c>
      <c r="B167" s="508">
        <f t="shared" si="62"/>
        <v>2033</v>
      </c>
      <c r="C167" s="421">
        <v>14603</v>
      </c>
      <c r="D167" s="509">
        <f t="shared" si="63"/>
        <v>5330095</v>
      </c>
      <c r="E167" s="483">
        <v>2.2000000000000002</v>
      </c>
      <c r="F167" s="509">
        <f t="shared" si="53"/>
        <v>11726209.000000002</v>
      </c>
      <c r="G167" s="510">
        <f t="shared" si="54"/>
        <v>4807745.6900000004</v>
      </c>
      <c r="H167" s="464">
        <v>2577</v>
      </c>
      <c r="I167" s="509">
        <f t="shared" si="60"/>
        <v>940605</v>
      </c>
      <c r="J167" s="483">
        <v>2.2000000000000002</v>
      </c>
      <c r="K167" s="511">
        <f t="shared" si="55"/>
        <v>2069331.0000000002</v>
      </c>
      <c r="L167" s="512">
        <f t="shared" si="56"/>
        <v>1986557.7600000002</v>
      </c>
      <c r="M167" s="512">
        <f t="shared" si="57"/>
        <v>6794303.4500000011</v>
      </c>
      <c r="N167" s="512">
        <f t="shared" si="58"/>
        <v>2462568.2416948527</v>
      </c>
      <c r="O167" s="248"/>
      <c r="P167" s="470">
        <f t="shared" si="61"/>
        <v>720019.95290164207</v>
      </c>
    </row>
    <row r="168" spans="1:16" x14ac:dyDescent="0.3">
      <c r="A168" s="507">
        <v>16</v>
      </c>
      <c r="B168" s="508">
        <f t="shared" si="62"/>
        <v>2034</v>
      </c>
      <c r="C168" s="421">
        <v>14671</v>
      </c>
      <c r="D168" s="509">
        <f t="shared" si="63"/>
        <v>5354915</v>
      </c>
      <c r="E168" s="483">
        <v>2.2000000000000002</v>
      </c>
      <c r="F168" s="509">
        <f t="shared" si="53"/>
        <v>11780813.000000002</v>
      </c>
      <c r="G168" s="510">
        <f t="shared" si="54"/>
        <v>4830133.33</v>
      </c>
      <c r="H168" s="464">
        <v>2589</v>
      </c>
      <c r="I168" s="509">
        <f t="shared" si="60"/>
        <v>944985</v>
      </c>
      <c r="J168" s="483">
        <v>2.2000000000000002</v>
      </c>
      <c r="K168" s="511">
        <f t="shared" si="55"/>
        <v>2078967.0000000002</v>
      </c>
      <c r="L168" s="512">
        <f t="shared" si="56"/>
        <v>1995808.32</v>
      </c>
      <c r="M168" s="512">
        <f t="shared" si="57"/>
        <v>6825941.6500000004</v>
      </c>
      <c r="N168" s="512">
        <f t="shared" si="58"/>
        <v>2312182.5993957957</v>
      </c>
      <c r="O168" s="248"/>
      <c r="P168" s="470">
        <f t="shared" si="61"/>
        <v>676049.32855430373</v>
      </c>
    </row>
    <row r="169" spans="1:16" x14ac:dyDescent="0.3">
      <c r="A169" s="507">
        <v>17</v>
      </c>
      <c r="B169" s="508">
        <f t="shared" si="62"/>
        <v>2035</v>
      </c>
      <c r="C169" s="421">
        <v>14739</v>
      </c>
      <c r="D169" s="509">
        <f t="shared" si="63"/>
        <v>5379735</v>
      </c>
      <c r="E169" s="483">
        <v>2.2000000000000002</v>
      </c>
      <c r="F169" s="509">
        <f t="shared" si="53"/>
        <v>11835417.000000002</v>
      </c>
      <c r="G169" s="510">
        <f t="shared" si="54"/>
        <v>4852520.9700000007</v>
      </c>
      <c r="H169" s="464">
        <v>2601</v>
      </c>
      <c r="I169" s="509">
        <f t="shared" si="60"/>
        <v>949365</v>
      </c>
      <c r="J169" s="483">
        <v>2.2000000000000002</v>
      </c>
      <c r="K169" s="511">
        <f t="shared" si="55"/>
        <v>2088603.0000000002</v>
      </c>
      <c r="L169" s="512">
        <f t="shared" si="56"/>
        <v>2005058.8800000001</v>
      </c>
      <c r="M169" s="512">
        <f t="shared" si="57"/>
        <v>6857579.8500000006</v>
      </c>
      <c r="N169" s="512">
        <f t="shared" si="58"/>
        <v>2170934.1610727143</v>
      </c>
      <c r="O169" s="248"/>
      <c r="P169" s="470">
        <f t="shared" si="61"/>
        <v>634750.29278065148</v>
      </c>
    </row>
    <row r="170" spans="1:16" x14ac:dyDescent="0.3">
      <c r="A170" s="507">
        <v>18</v>
      </c>
      <c r="B170" s="508">
        <f t="shared" si="62"/>
        <v>2036</v>
      </c>
      <c r="C170" s="421">
        <v>14807</v>
      </c>
      <c r="D170" s="509">
        <f t="shared" si="63"/>
        <v>5404555</v>
      </c>
      <c r="E170" s="483">
        <v>2.2000000000000002</v>
      </c>
      <c r="F170" s="509">
        <f t="shared" si="53"/>
        <v>11890021.000000002</v>
      </c>
      <c r="G170" s="510">
        <f t="shared" si="54"/>
        <v>4874908.6100000003</v>
      </c>
      <c r="H170" s="464">
        <v>2613</v>
      </c>
      <c r="I170" s="509">
        <f t="shared" si="60"/>
        <v>953745</v>
      </c>
      <c r="J170" s="483">
        <v>2.2000000000000002</v>
      </c>
      <c r="K170" s="511">
        <f t="shared" si="55"/>
        <v>2098239</v>
      </c>
      <c r="L170" s="512">
        <f t="shared" si="56"/>
        <v>2014309.44</v>
      </c>
      <c r="M170" s="512">
        <f t="shared" si="57"/>
        <v>6889218.0500000007</v>
      </c>
      <c r="N170" s="512">
        <f t="shared" si="58"/>
        <v>2038271.0326664445</v>
      </c>
      <c r="O170" s="248"/>
      <c r="P170" s="470">
        <f t="shared" si="61"/>
        <v>595961.4796019654</v>
      </c>
    </row>
    <row r="171" spans="1:16" x14ac:dyDescent="0.3">
      <c r="A171" s="507">
        <v>19</v>
      </c>
      <c r="B171" s="508">
        <f t="shared" si="62"/>
        <v>2037</v>
      </c>
      <c r="C171" s="421">
        <v>14883.5</v>
      </c>
      <c r="D171" s="509">
        <f t="shared" si="63"/>
        <v>5432477.5</v>
      </c>
      <c r="E171" s="483">
        <v>2.2000000000000002</v>
      </c>
      <c r="F171" s="509">
        <f t="shared" si="53"/>
        <v>11951450.500000002</v>
      </c>
      <c r="G171" s="510">
        <f t="shared" si="54"/>
        <v>4900094.7050000001</v>
      </c>
      <c r="H171" s="464">
        <v>2626.5</v>
      </c>
      <c r="I171" s="509">
        <f t="shared" si="60"/>
        <v>958672.5</v>
      </c>
      <c r="J171" s="483">
        <v>2.2000000000000002</v>
      </c>
      <c r="K171" s="511">
        <f t="shared" si="55"/>
        <v>2109079.5</v>
      </c>
      <c r="L171" s="512">
        <f t="shared" si="56"/>
        <v>2024716.3199999998</v>
      </c>
      <c r="M171" s="512">
        <f t="shared" si="57"/>
        <v>6924811.0250000004</v>
      </c>
      <c r="N171" s="512">
        <f t="shared" si="58"/>
        <v>1914767.9529378328</v>
      </c>
      <c r="O171" s="248"/>
      <c r="P171" s="470">
        <f t="shared" si="61"/>
        <v>559850.93446304137</v>
      </c>
    </row>
    <row r="172" spans="1:16" x14ac:dyDescent="0.3">
      <c r="A172" s="507">
        <v>20</v>
      </c>
      <c r="B172" s="508">
        <f t="shared" si="62"/>
        <v>2038</v>
      </c>
      <c r="C172" s="421">
        <v>14951.5</v>
      </c>
      <c r="D172" s="509">
        <f t="shared" si="63"/>
        <v>5457297.5</v>
      </c>
      <c r="E172" s="483">
        <v>2.2000000000000002</v>
      </c>
      <c r="F172" s="509">
        <f t="shared" si="53"/>
        <v>12006054.500000002</v>
      </c>
      <c r="G172" s="510">
        <f t="shared" si="54"/>
        <v>4922482.3450000007</v>
      </c>
      <c r="H172" s="464">
        <v>2638.5</v>
      </c>
      <c r="I172" s="509">
        <f t="shared" si="60"/>
        <v>963052.5</v>
      </c>
      <c r="J172" s="483">
        <v>2.2000000000000002</v>
      </c>
      <c r="K172" s="511">
        <f t="shared" si="55"/>
        <v>2118715.5</v>
      </c>
      <c r="L172" s="512">
        <f t="shared" si="56"/>
        <v>2033966.88</v>
      </c>
      <c r="M172" s="512">
        <f t="shared" si="57"/>
        <v>6956449.2250000006</v>
      </c>
      <c r="N172" s="512">
        <f t="shared" si="58"/>
        <v>1797678.6718498098</v>
      </c>
      <c r="O172" s="248"/>
      <c r="P172" s="470">
        <f t="shared" si="61"/>
        <v>525615.69288603566</v>
      </c>
    </row>
    <row r="173" spans="1:16" x14ac:dyDescent="0.3">
      <c r="A173" s="507">
        <v>21</v>
      </c>
      <c r="B173" s="508">
        <f t="shared" si="62"/>
        <v>2039</v>
      </c>
      <c r="C173" s="421">
        <v>15019.5</v>
      </c>
      <c r="D173" s="509">
        <f t="shared" si="63"/>
        <v>5482117.5</v>
      </c>
      <c r="E173" s="483">
        <v>2.2000000000000002</v>
      </c>
      <c r="F173" s="509">
        <f t="shared" si="53"/>
        <v>12060658.500000002</v>
      </c>
      <c r="G173" s="510">
        <f t="shared" si="54"/>
        <v>4944869.9850000003</v>
      </c>
      <c r="H173" s="464">
        <v>2650.5</v>
      </c>
      <c r="I173" s="509">
        <f t="shared" si="60"/>
        <v>967432.5</v>
      </c>
      <c r="J173" s="483">
        <v>2.2000000000000002</v>
      </c>
      <c r="K173" s="511">
        <f t="shared" si="55"/>
        <v>2128351.5</v>
      </c>
      <c r="L173" s="512">
        <f t="shared" si="56"/>
        <v>2043217.44</v>
      </c>
      <c r="M173" s="512">
        <f t="shared" si="57"/>
        <v>6988087.4250000007</v>
      </c>
      <c r="N173" s="512">
        <f t="shared" si="58"/>
        <v>1687714.5644342389</v>
      </c>
      <c r="O173" s="248"/>
      <c r="P173" s="470">
        <f t="shared" si="61"/>
        <v>493463.750819351</v>
      </c>
    </row>
    <row r="174" spans="1:16" x14ac:dyDescent="0.3">
      <c r="A174" s="507">
        <v>22</v>
      </c>
      <c r="B174" s="508">
        <f t="shared" si="62"/>
        <v>2040</v>
      </c>
      <c r="C174" s="421">
        <v>15087.5</v>
      </c>
      <c r="D174" s="509">
        <f t="shared" si="63"/>
        <v>5506937.5</v>
      </c>
      <c r="E174" s="483">
        <v>2.2000000000000002</v>
      </c>
      <c r="F174" s="509">
        <f t="shared" si="53"/>
        <v>12115262.500000002</v>
      </c>
      <c r="G174" s="510">
        <f t="shared" si="54"/>
        <v>4967257.6250000009</v>
      </c>
      <c r="H174" s="464">
        <v>2662.5</v>
      </c>
      <c r="I174" s="509">
        <f t="shared" si="60"/>
        <v>971812.5</v>
      </c>
      <c r="J174" s="483">
        <v>2.2000000000000002</v>
      </c>
      <c r="K174" s="511">
        <f t="shared" si="55"/>
        <v>2137987.5</v>
      </c>
      <c r="L174" s="512">
        <f t="shared" si="56"/>
        <v>2052468</v>
      </c>
      <c r="M174" s="512">
        <f t="shared" si="57"/>
        <v>7019725.6250000009</v>
      </c>
      <c r="N174" s="512">
        <f t="shared" si="58"/>
        <v>1584444.4895095304</v>
      </c>
      <c r="O174" s="248"/>
      <c r="P174" s="470">
        <f t="shared" si="61"/>
        <v>463269.0487093855</v>
      </c>
    </row>
    <row r="175" spans="1:16" x14ac:dyDescent="0.3">
      <c r="A175" s="507">
        <v>23</v>
      </c>
      <c r="B175" s="508">
        <f t="shared" si="62"/>
        <v>2041</v>
      </c>
      <c r="C175" s="421">
        <v>15155.5</v>
      </c>
      <c r="D175" s="509">
        <f t="shared" si="63"/>
        <v>5531757.5</v>
      </c>
      <c r="E175" s="483">
        <v>2.2000000000000002</v>
      </c>
      <c r="F175" s="509">
        <f t="shared" si="53"/>
        <v>12169866.500000002</v>
      </c>
      <c r="G175" s="510">
        <f t="shared" si="54"/>
        <v>4989645.2650000006</v>
      </c>
      <c r="H175" s="464">
        <v>2674.5</v>
      </c>
      <c r="I175" s="509">
        <f t="shared" si="60"/>
        <v>976192.5</v>
      </c>
      <c r="J175" s="483">
        <v>2.2000000000000002</v>
      </c>
      <c r="K175" s="511">
        <f t="shared" si="55"/>
        <v>2147623.5</v>
      </c>
      <c r="L175" s="512">
        <f t="shared" si="56"/>
        <v>2061718.5599999998</v>
      </c>
      <c r="M175" s="512">
        <f t="shared" si="57"/>
        <v>7051363.8250000002</v>
      </c>
      <c r="N175" s="512">
        <f t="shared" si="58"/>
        <v>1487463.2222169237</v>
      </c>
      <c r="O175" s="248"/>
      <c r="P175" s="470">
        <f t="shared" si="61"/>
        <v>434913.10456697864</v>
      </c>
    </row>
    <row r="176" spans="1:16" x14ac:dyDescent="0.3">
      <c r="A176" s="507">
        <v>24</v>
      </c>
      <c r="B176" s="508">
        <f t="shared" si="62"/>
        <v>2042</v>
      </c>
      <c r="C176" s="421">
        <v>15232</v>
      </c>
      <c r="D176" s="509">
        <f t="shared" si="63"/>
        <v>5559680</v>
      </c>
      <c r="E176" s="483">
        <v>2.2000000000000002</v>
      </c>
      <c r="F176" s="509">
        <f t="shared" si="53"/>
        <v>12231296.000000002</v>
      </c>
      <c r="G176" s="510">
        <f t="shared" si="54"/>
        <v>5014831.3600000003</v>
      </c>
      <c r="H176" s="464">
        <v>2688</v>
      </c>
      <c r="I176" s="509">
        <f t="shared" si="60"/>
        <v>981120</v>
      </c>
      <c r="J176" s="483">
        <v>2.2000000000000002</v>
      </c>
      <c r="K176" s="511">
        <f t="shared" si="55"/>
        <v>2158464</v>
      </c>
      <c r="L176" s="512">
        <f t="shared" si="56"/>
        <v>2072125.4399999999</v>
      </c>
      <c r="M176" s="512">
        <f t="shared" si="57"/>
        <v>7086956.8000000007</v>
      </c>
      <c r="N176" s="512">
        <f t="shared" si="58"/>
        <v>1397169.5788431382</v>
      </c>
      <c r="O176" s="248"/>
      <c r="P176" s="470">
        <f t="shared" si="61"/>
        <v>408512.52660591243</v>
      </c>
    </row>
    <row r="177" spans="1:16" x14ac:dyDescent="0.3">
      <c r="A177" s="507">
        <v>25</v>
      </c>
      <c r="B177" s="508">
        <f t="shared" si="62"/>
        <v>2043</v>
      </c>
      <c r="C177" s="421">
        <v>15300</v>
      </c>
      <c r="D177" s="509">
        <f t="shared" si="63"/>
        <v>5584500</v>
      </c>
      <c r="E177" s="483">
        <v>2.2000000000000002</v>
      </c>
      <c r="F177" s="509">
        <f t="shared" si="53"/>
        <v>12285900.000000002</v>
      </c>
      <c r="G177" s="510">
        <f t="shared" si="54"/>
        <v>5037219</v>
      </c>
      <c r="H177" s="464">
        <v>2700</v>
      </c>
      <c r="I177" s="509">
        <f t="shared" si="60"/>
        <v>985500</v>
      </c>
      <c r="J177" s="483">
        <v>2.2000000000000002</v>
      </c>
      <c r="K177" s="511">
        <f t="shared" si="55"/>
        <v>2168100</v>
      </c>
      <c r="L177" s="512">
        <f t="shared" si="56"/>
        <v>2081376</v>
      </c>
      <c r="M177" s="512">
        <f t="shared" si="57"/>
        <v>7118595</v>
      </c>
      <c r="N177" s="512">
        <f t="shared" si="58"/>
        <v>1311595.273863927</v>
      </c>
      <c r="O177" s="248"/>
      <c r="P177" s="470">
        <f t="shared" si="61"/>
        <v>383491.81611452892</v>
      </c>
    </row>
    <row r="178" spans="1:16" x14ac:dyDescent="0.3">
      <c r="A178" s="507">
        <v>26</v>
      </c>
      <c r="B178" s="508">
        <f t="shared" si="62"/>
        <v>2044</v>
      </c>
      <c r="C178" s="421">
        <v>15368</v>
      </c>
      <c r="D178" s="509">
        <f t="shared" si="63"/>
        <v>5609320</v>
      </c>
      <c r="E178" s="483">
        <v>2.2000000000000002</v>
      </c>
      <c r="F178" s="509">
        <f t="shared" si="53"/>
        <v>12340504.000000002</v>
      </c>
      <c r="G178" s="510">
        <f t="shared" si="54"/>
        <v>5059606.6400000006</v>
      </c>
      <c r="H178" s="464">
        <v>2712</v>
      </c>
      <c r="I178" s="509">
        <f t="shared" si="60"/>
        <v>989880</v>
      </c>
      <c r="J178" s="483">
        <v>2.2000000000000002</v>
      </c>
      <c r="K178" s="511">
        <f t="shared" si="55"/>
        <v>2177736</v>
      </c>
      <c r="L178" s="512">
        <f t="shared" si="56"/>
        <v>2090626.5599999998</v>
      </c>
      <c r="M178" s="512">
        <f t="shared" si="57"/>
        <v>7150233.2000000002</v>
      </c>
      <c r="N178" s="512">
        <f t="shared" si="58"/>
        <v>1231237.9310207583</v>
      </c>
      <c r="O178" s="248"/>
      <c r="P178" s="470">
        <f t="shared" si="61"/>
        <v>359996.47120200848</v>
      </c>
    </row>
    <row r="179" spans="1:16" x14ac:dyDescent="0.3">
      <c r="A179" s="507">
        <v>27</v>
      </c>
      <c r="B179" s="508">
        <f t="shared" si="62"/>
        <v>2045</v>
      </c>
      <c r="C179" s="421">
        <v>15436</v>
      </c>
      <c r="D179" s="509">
        <f t="shared" si="63"/>
        <v>5634140</v>
      </c>
      <c r="E179" s="483">
        <v>2.2000000000000002</v>
      </c>
      <c r="F179" s="509">
        <f t="shared" si="53"/>
        <v>12395108.000000002</v>
      </c>
      <c r="G179" s="510">
        <f t="shared" si="54"/>
        <v>5081994.28</v>
      </c>
      <c r="H179" s="464">
        <v>2724</v>
      </c>
      <c r="I179" s="509">
        <f t="shared" si="60"/>
        <v>994260</v>
      </c>
      <c r="J179" s="483">
        <v>2.2000000000000002</v>
      </c>
      <c r="K179" s="511">
        <f t="shared" si="55"/>
        <v>2187372</v>
      </c>
      <c r="L179" s="512">
        <f t="shared" si="56"/>
        <v>2099877.12</v>
      </c>
      <c r="M179" s="512">
        <f t="shared" si="57"/>
        <v>7181871.4000000004</v>
      </c>
      <c r="N179" s="512">
        <f t="shared" si="58"/>
        <v>1155781.2023063109</v>
      </c>
      <c r="O179" s="248"/>
      <c r="P179" s="470">
        <f t="shared" si="61"/>
        <v>337933.99620732741</v>
      </c>
    </row>
    <row r="180" spans="1:16" x14ac:dyDescent="0.3">
      <c r="A180" s="507">
        <v>28</v>
      </c>
      <c r="B180" s="508">
        <f t="shared" si="62"/>
        <v>2046</v>
      </c>
      <c r="C180" s="421">
        <v>15504</v>
      </c>
      <c r="D180" s="509">
        <f t="shared" si="63"/>
        <v>5658960</v>
      </c>
      <c r="E180" s="483">
        <v>2.2000000000000002</v>
      </c>
      <c r="F180" s="509">
        <f t="shared" si="53"/>
        <v>12449712.000000002</v>
      </c>
      <c r="G180" s="510">
        <f t="shared" si="54"/>
        <v>5104381.9200000009</v>
      </c>
      <c r="H180" s="464">
        <v>2736</v>
      </c>
      <c r="I180" s="509">
        <f t="shared" si="60"/>
        <v>998640</v>
      </c>
      <c r="J180" s="483">
        <v>2.2000000000000002</v>
      </c>
      <c r="K180" s="511">
        <f t="shared" si="55"/>
        <v>2197008</v>
      </c>
      <c r="L180" s="512">
        <f t="shared" si="56"/>
        <v>2109127.6799999997</v>
      </c>
      <c r="M180" s="512">
        <f t="shared" si="57"/>
        <v>7213509.6000000006</v>
      </c>
      <c r="N180" s="512">
        <f t="shared" si="58"/>
        <v>1084927.8032271354</v>
      </c>
      <c r="O180" s="248"/>
      <c r="P180" s="470">
        <f t="shared" si="61"/>
        <v>317217.46936996438</v>
      </c>
    </row>
    <row r="181" spans="1:16" x14ac:dyDescent="0.3">
      <c r="A181" s="507">
        <v>29</v>
      </c>
      <c r="B181" s="508">
        <f t="shared" si="62"/>
        <v>2047</v>
      </c>
      <c r="C181" s="421">
        <v>15572</v>
      </c>
      <c r="D181" s="509">
        <f t="shared" si="63"/>
        <v>5683780</v>
      </c>
      <c r="E181" s="483">
        <v>2.2000000000000002</v>
      </c>
      <c r="F181" s="509">
        <f t="shared" si="53"/>
        <v>12504316.000000002</v>
      </c>
      <c r="G181" s="510">
        <f t="shared" si="54"/>
        <v>5126769.5600000005</v>
      </c>
      <c r="H181" s="464">
        <v>2748</v>
      </c>
      <c r="I181" s="509">
        <f t="shared" si="60"/>
        <v>1003020</v>
      </c>
      <c r="J181" s="483">
        <v>2.2000000000000002</v>
      </c>
      <c r="K181" s="511">
        <f t="shared" si="55"/>
        <v>2206644</v>
      </c>
      <c r="L181" s="512">
        <f t="shared" si="56"/>
        <v>2118378.2399999998</v>
      </c>
      <c r="M181" s="512">
        <f t="shared" si="57"/>
        <v>7245147.8000000007</v>
      </c>
      <c r="N181" s="512">
        <f t="shared" si="58"/>
        <v>1018398.372434063</v>
      </c>
      <c r="O181" s="248"/>
      <c r="P181" s="470">
        <f t="shared" si="61"/>
        <v>297765.20940204069</v>
      </c>
    </row>
    <row r="182" spans="1:16" x14ac:dyDescent="0.3">
      <c r="A182" s="507">
        <f>1+A181</f>
        <v>30</v>
      </c>
      <c r="B182" s="508">
        <f t="shared" si="62"/>
        <v>2048</v>
      </c>
      <c r="C182" s="421">
        <v>15648.5</v>
      </c>
      <c r="D182" s="509">
        <f t="shared" si="63"/>
        <v>5711702.5</v>
      </c>
      <c r="E182" s="483">
        <v>2.2000000000000002</v>
      </c>
      <c r="F182" s="509">
        <f t="shared" si="53"/>
        <v>12565745.500000002</v>
      </c>
      <c r="G182" s="510">
        <f t="shared" si="54"/>
        <v>5151955.6550000003</v>
      </c>
      <c r="H182" s="464">
        <v>2761.5</v>
      </c>
      <c r="I182" s="509">
        <f t="shared" si="60"/>
        <v>1007947.5</v>
      </c>
      <c r="J182" s="483">
        <v>2.2000000000000002</v>
      </c>
      <c r="K182" s="511">
        <f t="shared" si="55"/>
        <v>2217484.5</v>
      </c>
      <c r="L182" s="512">
        <f t="shared" si="56"/>
        <v>2128785.12</v>
      </c>
      <c r="M182" s="512">
        <f t="shared" si="57"/>
        <v>7280740.7750000004</v>
      </c>
      <c r="N182" s="512">
        <f t="shared" si="58"/>
        <v>956449.92636162404</v>
      </c>
      <c r="O182" s="248"/>
      <c r="P182" s="470">
        <f t="shared" si="61"/>
        <v>279652.36425598752</v>
      </c>
    </row>
    <row r="183" spans="1:16" ht="16.8" thickBot="1" x14ac:dyDescent="0.35">
      <c r="A183" s="515">
        <f>1+A182</f>
        <v>31</v>
      </c>
      <c r="B183" s="516">
        <f t="shared" si="62"/>
        <v>2049</v>
      </c>
      <c r="C183" s="421">
        <v>15648.5</v>
      </c>
      <c r="D183" s="518">
        <f t="shared" si="63"/>
        <v>5711702.5</v>
      </c>
      <c r="E183" s="483">
        <v>2.2000000000000002</v>
      </c>
      <c r="F183" s="518">
        <f t="shared" si="53"/>
        <v>12565745.500000002</v>
      </c>
      <c r="G183" s="510">
        <f t="shared" si="54"/>
        <v>5151955.6550000003</v>
      </c>
      <c r="H183" s="464">
        <v>566.5</v>
      </c>
      <c r="I183" s="518">
        <f t="shared" si="60"/>
        <v>206772.5</v>
      </c>
      <c r="J183" s="483">
        <v>2.2000000000000002</v>
      </c>
      <c r="K183" s="520">
        <f t="shared" si="55"/>
        <v>454899.50000000006</v>
      </c>
      <c r="L183" s="512">
        <f t="shared" si="56"/>
        <v>436703.52</v>
      </c>
      <c r="M183" s="521">
        <f t="shared" si="57"/>
        <v>5588659.1750000007</v>
      </c>
      <c r="N183" s="521">
        <f t="shared" si="58"/>
        <v>686136.49026102631</v>
      </c>
      <c r="O183" s="248"/>
      <c r="P183" s="470">
        <f t="shared" si="61"/>
        <v>53615.404180992286</v>
      </c>
    </row>
    <row r="184" spans="1:16" ht="16.8" thickBot="1" x14ac:dyDescent="0.35">
      <c r="A184" s="148" t="s">
        <v>40</v>
      </c>
      <c r="B184" s="149"/>
      <c r="C184" s="27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50">
        <f>SUM(N152:N183)</f>
        <v>52704119.975982077</v>
      </c>
      <c r="O184" s="248"/>
      <c r="P184" s="475">
        <f>SUM(P152:P181)</f>
        <v>14929666.66507159</v>
      </c>
    </row>
    <row r="186" spans="1:16" x14ac:dyDescent="0.25">
      <c r="A186" s="586" t="s">
        <v>179</v>
      </c>
      <c r="B186" s="586"/>
      <c r="C186" s="586"/>
      <c r="D186" s="586"/>
      <c r="E186" s="586"/>
      <c r="F186" s="586"/>
      <c r="G186" s="586"/>
      <c r="H186" s="586"/>
      <c r="I186" s="586"/>
      <c r="J186" s="586"/>
      <c r="K186" s="586"/>
      <c r="L186" s="586"/>
      <c r="M186" s="586"/>
      <c r="N186" s="586"/>
      <c r="O186" s="248"/>
      <c r="P186" s="191"/>
    </row>
    <row r="187" spans="1:16" x14ac:dyDescent="0.3">
      <c r="A187" s="503" t="s">
        <v>145</v>
      </c>
      <c r="B187" s="503" t="s">
        <v>146</v>
      </c>
      <c r="C187" s="503" t="s">
        <v>147</v>
      </c>
      <c r="D187" s="503" t="s">
        <v>148</v>
      </c>
      <c r="E187" s="503" t="s">
        <v>149</v>
      </c>
      <c r="F187" s="503" t="s">
        <v>150</v>
      </c>
      <c r="G187" s="503" t="s">
        <v>151</v>
      </c>
      <c r="H187" s="503" t="s">
        <v>152</v>
      </c>
      <c r="I187" s="503" t="s">
        <v>153</v>
      </c>
      <c r="J187" s="503" t="s">
        <v>154</v>
      </c>
      <c r="K187" s="503" t="s">
        <v>155</v>
      </c>
      <c r="L187" s="503" t="s">
        <v>88</v>
      </c>
      <c r="M187" s="503" t="s">
        <v>156</v>
      </c>
      <c r="N187" s="503" t="s">
        <v>157</v>
      </c>
      <c r="O187" s="248"/>
      <c r="P187" s="485" t="s">
        <v>160</v>
      </c>
    </row>
    <row r="188" spans="1:16" ht="43.2" x14ac:dyDescent="0.3">
      <c r="A188" s="504" t="s">
        <v>29</v>
      </c>
      <c r="B188" s="505" t="s">
        <v>30</v>
      </c>
      <c r="C188" s="506" t="s">
        <v>225</v>
      </c>
      <c r="D188" s="506" t="s">
        <v>256</v>
      </c>
      <c r="E188" s="506" t="s">
        <v>183</v>
      </c>
      <c r="F188" s="506" t="s">
        <v>184</v>
      </c>
      <c r="G188" s="505" t="s">
        <v>257</v>
      </c>
      <c r="H188" s="506" t="s">
        <v>226</v>
      </c>
      <c r="I188" s="506" t="s">
        <v>258</v>
      </c>
      <c r="J188" s="506" t="s">
        <v>183</v>
      </c>
      <c r="K188" s="506" t="s">
        <v>184</v>
      </c>
      <c r="L188" s="505" t="s">
        <v>259</v>
      </c>
      <c r="M188" s="504" t="s">
        <v>260</v>
      </c>
      <c r="N188" s="504" t="s">
        <v>32</v>
      </c>
      <c r="O188" s="248"/>
      <c r="P188" s="462" t="s">
        <v>173</v>
      </c>
    </row>
    <row r="189" spans="1:16" x14ac:dyDescent="0.3">
      <c r="A189" s="507">
        <v>0</v>
      </c>
      <c r="B189" s="508">
        <v>2018</v>
      </c>
      <c r="C189" s="421">
        <v>34742.949999999997</v>
      </c>
      <c r="D189" s="509">
        <f>C189*365</f>
        <v>12681176.749999998</v>
      </c>
      <c r="E189" s="483">
        <v>0</v>
      </c>
      <c r="F189" s="509">
        <f t="shared" ref="F189:F220" si="64">D189*E189</f>
        <v>0</v>
      </c>
      <c r="G189" s="510">
        <f t="shared" ref="G189:G220" si="65">F189*0.41</f>
        <v>0</v>
      </c>
      <c r="H189" s="509">
        <v>3647.05</v>
      </c>
      <c r="I189" s="509">
        <f>H189*365</f>
        <v>1331173.25</v>
      </c>
      <c r="J189" s="483">
        <v>0</v>
      </c>
      <c r="K189" s="511">
        <f t="shared" ref="K189:K220" si="66">I189*J189</f>
        <v>0</v>
      </c>
      <c r="L189" s="512">
        <f t="shared" ref="L189:L220" si="67">K189*0.96</f>
        <v>0</v>
      </c>
      <c r="M189" s="512">
        <f t="shared" ref="M189:M220" si="68">G189+L189</f>
        <v>0</v>
      </c>
      <c r="N189" s="512">
        <f t="shared" ref="N189:N220" si="69">M189/(1+0.07)^A189</f>
        <v>0</v>
      </c>
      <c r="O189" s="248"/>
      <c r="P189" s="470">
        <f>L189/(1+0.07)^A189</f>
        <v>0</v>
      </c>
    </row>
    <row r="190" spans="1:16" x14ac:dyDescent="0.3">
      <c r="A190" s="507">
        <v>1</v>
      </c>
      <c r="B190" s="508">
        <f>1+B189</f>
        <v>2019</v>
      </c>
      <c r="C190" s="421">
        <v>34914.9</v>
      </c>
      <c r="D190" s="509">
        <f t="shared" ref="D190:D198" si="70">C190*365</f>
        <v>12743938.5</v>
      </c>
      <c r="E190" s="483">
        <v>0</v>
      </c>
      <c r="F190" s="509">
        <f t="shared" si="64"/>
        <v>0</v>
      </c>
      <c r="G190" s="510">
        <f t="shared" si="65"/>
        <v>0</v>
      </c>
      <c r="H190" s="509">
        <v>3665.1</v>
      </c>
      <c r="I190" s="509">
        <f t="shared" ref="I190:I220" si="71">H190*365</f>
        <v>1337761.5</v>
      </c>
      <c r="J190" s="483">
        <v>0</v>
      </c>
      <c r="K190" s="511">
        <f t="shared" si="66"/>
        <v>0</v>
      </c>
      <c r="L190" s="512">
        <f t="shared" si="67"/>
        <v>0</v>
      </c>
      <c r="M190" s="512">
        <f t="shared" si="68"/>
        <v>0</v>
      </c>
      <c r="N190" s="512">
        <f t="shared" si="69"/>
        <v>0</v>
      </c>
      <c r="O190" s="248"/>
      <c r="P190" s="470">
        <f t="shared" ref="P190:P220" si="72">L190/(1+0.07)^A190</f>
        <v>0</v>
      </c>
    </row>
    <row r="191" spans="1:16" x14ac:dyDescent="0.3">
      <c r="A191" s="507">
        <v>2</v>
      </c>
      <c r="B191" s="508">
        <f t="shared" ref="B191:B220" si="73">1+B190</f>
        <v>2020</v>
      </c>
      <c r="C191" s="421">
        <v>35095.9</v>
      </c>
      <c r="D191" s="509">
        <f t="shared" si="70"/>
        <v>12810003.5</v>
      </c>
      <c r="E191" s="483">
        <v>0</v>
      </c>
      <c r="F191" s="509">
        <f t="shared" si="64"/>
        <v>0</v>
      </c>
      <c r="G191" s="510">
        <f t="shared" si="65"/>
        <v>0</v>
      </c>
      <c r="H191" s="509">
        <v>3684.1</v>
      </c>
      <c r="I191" s="509">
        <f t="shared" si="71"/>
        <v>1344696.5</v>
      </c>
      <c r="J191" s="483">
        <v>0</v>
      </c>
      <c r="K191" s="511">
        <f t="shared" si="66"/>
        <v>0</v>
      </c>
      <c r="L191" s="512">
        <f t="shared" si="67"/>
        <v>0</v>
      </c>
      <c r="M191" s="512">
        <f t="shared" si="68"/>
        <v>0</v>
      </c>
      <c r="N191" s="512">
        <f t="shared" si="69"/>
        <v>0</v>
      </c>
      <c r="O191" s="248"/>
      <c r="P191" s="470">
        <f t="shared" si="72"/>
        <v>0</v>
      </c>
    </row>
    <row r="192" spans="1:16" x14ac:dyDescent="0.3">
      <c r="A192" s="507">
        <v>3</v>
      </c>
      <c r="B192" s="508">
        <f t="shared" si="73"/>
        <v>2021</v>
      </c>
      <c r="C192" s="421">
        <v>35267.85</v>
      </c>
      <c r="D192" s="509">
        <f t="shared" si="70"/>
        <v>12872765.25</v>
      </c>
      <c r="E192" s="483">
        <v>0</v>
      </c>
      <c r="F192" s="509">
        <f t="shared" si="64"/>
        <v>0</v>
      </c>
      <c r="G192" s="510">
        <f t="shared" si="65"/>
        <v>0</v>
      </c>
      <c r="H192" s="509">
        <v>3702.15</v>
      </c>
      <c r="I192" s="509">
        <f t="shared" si="71"/>
        <v>1351284.75</v>
      </c>
      <c r="J192" s="483">
        <v>0</v>
      </c>
      <c r="K192" s="511">
        <f t="shared" si="66"/>
        <v>0</v>
      </c>
      <c r="L192" s="512">
        <f t="shared" si="67"/>
        <v>0</v>
      </c>
      <c r="M192" s="512">
        <f t="shared" si="68"/>
        <v>0</v>
      </c>
      <c r="N192" s="512">
        <f t="shared" si="69"/>
        <v>0</v>
      </c>
      <c r="O192" s="248"/>
      <c r="P192" s="470">
        <f t="shared" si="72"/>
        <v>0</v>
      </c>
    </row>
    <row r="193" spans="1:16" x14ac:dyDescent="0.3">
      <c r="A193" s="507">
        <v>4</v>
      </c>
      <c r="B193" s="508">
        <f t="shared" si="73"/>
        <v>2022</v>
      </c>
      <c r="C193" s="421">
        <v>35448.85</v>
      </c>
      <c r="D193" s="509">
        <f t="shared" si="70"/>
        <v>12938830.25</v>
      </c>
      <c r="E193" s="483">
        <v>0</v>
      </c>
      <c r="F193" s="509">
        <f t="shared" si="64"/>
        <v>0</v>
      </c>
      <c r="G193" s="510">
        <f t="shared" si="65"/>
        <v>0</v>
      </c>
      <c r="H193" s="509">
        <v>3721.15</v>
      </c>
      <c r="I193" s="509">
        <f t="shared" si="71"/>
        <v>1358219.75</v>
      </c>
      <c r="J193" s="483">
        <v>0</v>
      </c>
      <c r="K193" s="511">
        <f t="shared" si="66"/>
        <v>0</v>
      </c>
      <c r="L193" s="512">
        <f t="shared" si="67"/>
        <v>0</v>
      </c>
      <c r="M193" s="512">
        <f t="shared" si="68"/>
        <v>0</v>
      </c>
      <c r="N193" s="512">
        <f t="shared" si="69"/>
        <v>0</v>
      </c>
      <c r="O193" s="248"/>
      <c r="P193" s="470">
        <f t="shared" si="72"/>
        <v>0</v>
      </c>
    </row>
    <row r="194" spans="1:16" x14ac:dyDescent="0.3">
      <c r="A194" s="507">
        <v>5</v>
      </c>
      <c r="B194" s="508">
        <f t="shared" si="73"/>
        <v>2023</v>
      </c>
      <c r="C194" s="421">
        <v>35620.800000000003</v>
      </c>
      <c r="D194" s="509">
        <f t="shared" si="70"/>
        <v>13001592.000000002</v>
      </c>
      <c r="E194" s="483">
        <v>0</v>
      </c>
      <c r="F194" s="509">
        <f t="shared" si="64"/>
        <v>0</v>
      </c>
      <c r="G194" s="510">
        <f t="shared" si="65"/>
        <v>0</v>
      </c>
      <c r="H194" s="509">
        <v>3739.2</v>
      </c>
      <c r="I194" s="509">
        <f t="shared" si="71"/>
        <v>1364808</v>
      </c>
      <c r="J194" s="483">
        <v>0</v>
      </c>
      <c r="K194" s="511">
        <f t="shared" si="66"/>
        <v>0</v>
      </c>
      <c r="L194" s="512">
        <f t="shared" si="67"/>
        <v>0</v>
      </c>
      <c r="M194" s="512">
        <f t="shared" si="68"/>
        <v>0</v>
      </c>
      <c r="N194" s="512">
        <f t="shared" si="69"/>
        <v>0</v>
      </c>
      <c r="O194" s="248"/>
      <c r="P194" s="470">
        <f t="shared" si="72"/>
        <v>0</v>
      </c>
    </row>
    <row r="195" spans="1:16" x14ac:dyDescent="0.3">
      <c r="A195" s="507">
        <v>6</v>
      </c>
      <c r="B195" s="508">
        <f t="shared" si="73"/>
        <v>2024</v>
      </c>
      <c r="C195" s="421">
        <v>35792.75</v>
      </c>
      <c r="D195" s="509">
        <f t="shared" si="70"/>
        <v>13064353.75</v>
      </c>
      <c r="E195" s="483">
        <v>0</v>
      </c>
      <c r="F195" s="509">
        <f t="shared" si="64"/>
        <v>0</v>
      </c>
      <c r="G195" s="510">
        <f t="shared" si="65"/>
        <v>0</v>
      </c>
      <c r="H195" s="509">
        <v>3757.25</v>
      </c>
      <c r="I195" s="509">
        <f t="shared" si="71"/>
        <v>1371396.25</v>
      </c>
      <c r="J195" s="483">
        <v>0</v>
      </c>
      <c r="K195" s="511">
        <f t="shared" si="66"/>
        <v>0</v>
      </c>
      <c r="L195" s="512">
        <f t="shared" si="67"/>
        <v>0</v>
      </c>
      <c r="M195" s="512">
        <f t="shared" si="68"/>
        <v>0</v>
      </c>
      <c r="N195" s="512">
        <f t="shared" si="69"/>
        <v>0</v>
      </c>
      <c r="O195" s="248"/>
      <c r="P195" s="470">
        <f t="shared" si="72"/>
        <v>0</v>
      </c>
    </row>
    <row r="196" spans="1:16" x14ac:dyDescent="0.3">
      <c r="A196" s="507">
        <v>7</v>
      </c>
      <c r="B196" s="508">
        <f t="shared" si="73"/>
        <v>2025</v>
      </c>
      <c r="C196" s="421">
        <v>35973.75</v>
      </c>
      <c r="D196" s="509">
        <f t="shared" si="70"/>
        <v>13130418.75</v>
      </c>
      <c r="E196" s="513">
        <v>0.7</v>
      </c>
      <c r="F196" s="509">
        <f t="shared" si="64"/>
        <v>9191293.125</v>
      </c>
      <c r="G196" s="510">
        <f t="shared" si="65"/>
        <v>3768430.1812499999</v>
      </c>
      <c r="H196" s="509">
        <v>3776.25</v>
      </c>
      <c r="I196" s="509">
        <f t="shared" si="71"/>
        <v>1378331.25</v>
      </c>
      <c r="J196" s="513">
        <v>0.7</v>
      </c>
      <c r="K196" s="511">
        <f t="shared" si="66"/>
        <v>964831.87499999988</v>
      </c>
      <c r="L196" s="512">
        <f t="shared" si="67"/>
        <v>926238.59999999986</v>
      </c>
      <c r="M196" s="514">
        <f t="shared" si="68"/>
        <v>4694668.78125</v>
      </c>
      <c r="N196" s="512">
        <f t="shared" si="69"/>
        <v>2923603.7717570853</v>
      </c>
      <c r="O196" s="248"/>
      <c r="P196" s="470">
        <f t="shared" si="72"/>
        <v>576814.84907354496</v>
      </c>
    </row>
    <row r="197" spans="1:16" x14ac:dyDescent="0.3">
      <c r="A197" s="507">
        <v>8</v>
      </c>
      <c r="B197" s="508">
        <f t="shared" si="73"/>
        <v>2026</v>
      </c>
      <c r="C197" s="421">
        <v>36145.699999999997</v>
      </c>
      <c r="D197" s="509">
        <f t="shared" si="70"/>
        <v>13193180.499999998</v>
      </c>
      <c r="E197" s="513">
        <v>0.7</v>
      </c>
      <c r="F197" s="509">
        <f t="shared" si="64"/>
        <v>9235226.3499999978</v>
      </c>
      <c r="G197" s="510">
        <f t="shared" si="65"/>
        <v>3786442.803499999</v>
      </c>
      <c r="H197" s="509">
        <v>3794.3</v>
      </c>
      <c r="I197" s="509">
        <f t="shared" si="71"/>
        <v>1384919.5</v>
      </c>
      <c r="J197" s="513">
        <v>0.7</v>
      </c>
      <c r="K197" s="511">
        <f t="shared" si="66"/>
        <v>969443.64999999991</v>
      </c>
      <c r="L197" s="512">
        <f t="shared" si="67"/>
        <v>930665.90399999986</v>
      </c>
      <c r="M197" s="512">
        <f t="shared" si="68"/>
        <v>4717108.7074999986</v>
      </c>
      <c r="N197" s="512">
        <f t="shared" si="69"/>
        <v>2745400.2149880198</v>
      </c>
      <c r="O197" s="248"/>
      <c r="P197" s="470">
        <f t="shared" si="72"/>
        <v>541656.02943625196</v>
      </c>
    </row>
    <row r="198" spans="1:16" x14ac:dyDescent="0.3">
      <c r="A198" s="507">
        <v>9</v>
      </c>
      <c r="B198" s="508">
        <f t="shared" si="73"/>
        <v>2027</v>
      </c>
      <c r="C198" s="421">
        <v>36317.65</v>
      </c>
      <c r="D198" s="509">
        <f t="shared" si="70"/>
        <v>13255942.25</v>
      </c>
      <c r="E198" s="513">
        <v>0.7</v>
      </c>
      <c r="F198" s="509">
        <f t="shared" si="64"/>
        <v>9279159.5749999993</v>
      </c>
      <c r="G198" s="510">
        <f t="shared" si="65"/>
        <v>3804455.4257499995</v>
      </c>
      <c r="H198" s="509">
        <v>3812.35</v>
      </c>
      <c r="I198" s="509">
        <f t="shared" si="71"/>
        <v>1391507.75</v>
      </c>
      <c r="J198" s="513">
        <v>0.7</v>
      </c>
      <c r="K198" s="511">
        <f t="shared" si="66"/>
        <v>974055.42499999993</v>
      </c>
      <c r="L198" s="512">
        <f t="shared" si="67"/>
        <v>935093.20799999987</v>
      </c>
      <c r="M198" s="512">
        <f t="shared" si="68"/>
        <v>4739548.6337499991</v>
      </c>
      <c r="N198" s="512">
        <f t="shared" si="69"/>
        <v>2578000.4265152225</v>
      </c>
      <c r="O198" s="248"/>
      <c r="P198" s="470">
        <f t="shared" si="72"/>
        <v>508628.74829245708</v>
      </c>
    </row>
    <row r="199" spans="1:16" x14ac:dyDescent="0.3">
      <c r="A199" s="507">
        <v>10</v>
      </c>
      <c r="B199" s="508">
        <f t="shared" si="73"/>
        <v>2028</v>
      </c>
      <c r="C199" s="421">
        <v>36498.65</v>
      </c>
      <c r="D199" s="509">
        <f>C199*365</f>
        <v>13322007.25</v>
      </c>
      <c r="E199" s="513">
        <v>0.7</v>
      </c>
      <c r="F199" s="509">
        <f t="shared" si="64"/>
        <v>9325405.0749999993</v>
      </c>
      <c r="G199" s="510">
        <f t="shared" si="65"/>
        <v>3823416.0807499993</v>
      </c>
      <c r="H199" s="509">
        <v>3831.35</v>
      </c>
      <c r="I199" s="509">
        <f t="shared" si="71"/>
        <v>1398442.75</v>
      </c>
      <c r="J199" s="513">
        <v>0.7</v>
      </c>
      <c r="K199" s="511">
        <f t="shared" si="66"/>
        <v>978909.92499999993</v>
      </c>
      <c r="L199" s="512">
        <f t="shared" si="67"/>
        <v>939753.52799999993</v>
      </c>
      <c r="M199" s="512">
        <f t="shared" si="68"/>
        <v>4763169.6087499987</v>
      </c>
      <c r="N199" s="512">
        <f t="shared" si="69"/>
        <v>2421353.8989256625</v>
      </c>
      <c r="O199" s="248"/>
      <c r="P199" s="470">
        <f t="shared" si="72"/>
        <v>477723.04073990369</v>
      </c>
    </row>
    <row r="200" spans="1:16" x14ac:dyDescent="0.3">
      <c r="A200" s="507">
        <v>11</v>
      </c>
      <c r="B200" s="508">
        <f t="shared" si="73"/>
        <v>2029</v>
      </c>
      <c r="C200" s="421">
        <v>36670.6</v>
      </c>
      <c r="D200" s="509">
        <f t="shared" ref="D200:D220" si="74">C200*365</f>
        <v>13384769</v>
      </c>
      <c r="E200" s="513">
        <v>0.7</v>
      </c>
      <c r="F200" s="509">
        <f t="shared" si="64"/>
        <v>9369338.2999999989</v>
      </c>
      <c r="G200" s="510">
        <f t="shared" si="65"/>
        <v>3841428.7029999993</v>
      </c>
      <c r="H200" s="509">
        <v>3849.4</v>
      </c>
      <c r="I200" s="509">
        <f t="shared" si="71"/>
        <v>1405031</v>
      </c>
      <c r="J200" s="513">
        <v>0.7</v>
      </c>
      <c r="K200" s="511">
        <f t="shared" si="66"/>
        <v>983521.7</v>
      </c>
      <c r="L200" s="512">
        <f t="shared" si="67"/>
        <v>944180.83199999994</v>
      </c>
      <c r="M200" s="512">
        <f t="shared" si="68"/>
        <v>4785609.5349999992</v>
      </c>
      <c r="N200" s="512">
        <f t="shared" si="69"/>
        <v>2273608.6164022479</v>
      </c>
      <c r="O200" s="248"/>
      <c r="P200" s="470">
        <f t="shared" si="72"/>
        <v>448573.51177043811</v>
      </c>
    </row>
    <row r="201" spans="1:16" x14ac:dyDescent="0.3">
      <c r="A201" s="507">
        <v>12</v>
      </c>
      <c r="B201" s="508">
        <f t="shared" si="73"/>
        <v>2030</v>
      </c>
      <c r="C201" s="421">
        <v>36851.599999999999</v>
      </c>
      <c r="D201" s="509">
        <f t="shared" si="74"/>
        <v>13450834</v>
      </c>
      <c r="E201" s="513">
        <v>0.7</v>
      </c>
      <c r="F201" s="509">
        <f t="shared" si="64"/>
        <v>9415583.7999999989</v>
      </c>
      <c r="G201" s="510">
        <f t="shared" si="65"/>
        <v>3860389.3579999995</v>
      </c>
      <c r="H201" s="509">
        <v>3868.4</v>
      </c>
      <c r="I201" s="509">
        <f t="shared" si="71"/>
        <v>1411966</v>
      </c>
      <c r="J201" s="513">
        <v>0.7</v>
      </c>
      <c r="K201" s="511">
        <f t="shared" si="66"/>
        <v>988376.2</v>
      </c>
      <c r="L201" s="512">
        <f t="shared" si="67"/>
        <v>948841.15199999989</v>
      </c>
      <c r="M201" s="512">
        <f t="shared" si="68"/>
        <v>4809230.51</v>
      </c>
      <c r="N201" s="512">
        <f t="shared" si="69"/>
        <v>2135355.8611854203</v>
      </c>
      <c r="O201" s="248"/>
      <c r="P201" s="470">
        <f t="shared" si="72"/>
        <v>421296.81890775624</v>
      </c>
    </row>
    <row r="202" spans="1:16" x14ac:dyDescent="0.3">
      <c r="A202" s="507">
        <v>13</v>
      </c>
      <c r="B202" s="508">
        <f t="shared" si="73"/>
        <v>2031</v>
      </c>
      <c r="C202" s="421">
        <v>37023.550000000003</v>
      </c>
      <c r="D202" s="509">
        <f t="shared" si="74"/>
        <v>13513595.750000002</v>
      </c>
      <c r="E202" s="513">
        <v>0.7</v>
      </c>
      <c r="F202" s="509">
        <f t="shared" si="64"/>
        <v>9459517.0250000004</v>
      </c>
      <c r="G202" s="510">
        <f t="shared" si="65"/>
        <v>3878401.98025</v>
      </c>
      <c r="H202" s="509">
        <v>3886.45</v>
      </c>
      <c r="I202" s="509">
        <f t="shared" si="71"/>
        <v>1418554.25</v>
      </c>
      <c r="J202" s="513">
        <v>0.7</v>
      </c>
      <c r="K202" s="511">
        <f t="shared" si="66"/>
        <v>992987.97499999998</v>
      </c>
      <c r="L202" s="512">
        <f t="shared" si="67"/>
        <v>953268.45599999989</v>
      </c>
      <c r="M202" s="512">
        <f t="shared" si="68"/>
        <v>4831670.4362500003</v>
      </c>
      <c r="N202" s="512">
        <f t="shared" si="69"/>
        <v>2004971.454957851</v>
      </c>
      <c r="O202" s="248"/>
      <c r="P202" s="470">
        <f t="shared" si="72"/>
        <v>395572.51853359869</v>
      </c>
    </row>
    <row r="203" spans="1:16" x14ac:dyDescent="0.3">
      <c r="A203" s="507">
        <v>14</v>
      </c>
      <c r="B203" s="508">
        <f t="shared" si="73"/>
        <v>2032</v>
      </c>
      <c r="C203" s="421">
        <v>37195.5</v>
      </c>
      <c r="D203" s="509">
        <f t="shared" si="74"/>
        <v>13576357.5</v>
      </c>
      <c r="E203" s="513">
        <v>0.7</v>
      </c>
      <c r="F203" s="509">
        <f t="shared" si="64"/>
        <v>9503450.25</v>
      </c>
      <c r="G203" s="510">
        <f t="shared" si="65"/>
        <v>3896414.6024999996</v>
      </c>
      <c r="H203" s="509">
        <v>3904.5</v>
      </c>
      <c r="I203" s="509">
        <f t="shared" si="71"/>
        <v>1425142.5</v>
      </c>
      <c r="J203" s="513">
        <v>0.7</v>
      </c>
      <c r="K203" s="511">
        <f t="shared" si="66"/>
        <v>997599.74999999988</v>
      </c>
      <c r="L203" s="512">
        <f t="shared" si="67"/>
        <v>957695.75999999989</v>
      </c>
      <c r="M203" s="512">
        <f t="shared" si="68"/>
        <v>4854110.3624999998</v>
      </c>
      <c r="N203" s="512">
        <f t="shared" si="69"/>
        <v>1882507.6883783569</v>
      </c>
      <c r="O203" s="248"/>
      <c r="P203" s="470">
        <f t="shared" si="72"/>
        <v>371410.92737719009</v>
      </c>
    </row>
    <row r="204" spans="1:16" x14ac:dyDescent="0.3">
      <c r="A204" s="507">
        <v>15</v>
      </c>
      <c r="B204" s="508">
        <f t="shared" si="73"/>
        <v>2033</v>
      </c>
      <c r="C204" s="421">
        <v>37376.5</v>
      </c>
      <c r="D204" s="509">
        <f t="shared" si="74"/>
        <v>13642422.5</v>
      </c>
      <c r="E204" s="513">
        <v>0.7</v>
      </c>
      <c r="F204" s="509">
        <f t="shared" si="64"/>
        <v>9549695.75</v>
      </c>
      <c r="G204" s="510">
        <f t="shared" si="65"/>
        <v>3915375.2574999998</v>
      </c>
      <c r="H204" s="509">
        <v>3923.5</v>
      </c>
      <c r="I204" s="509">
        <f t="shared" si="71"/>
        <v>1432077.5</v>
      </c>
      <c r="J204" s="513">
        <v>0.7</v>
      </c>
      <c r="K204" s="511">
        <f t="shared" si="66"/>
        <v>1002454.2499999999</v>
      </c>
      <c r="L204" s="512">
        <f t="shared" si="67"/>
        <v>962356.07999999984</v>
      </c>
      <c r="M204" s="512">
        <f t="shared" si="68"/>
        <v>4877731.3374999994</v>
      </c>
      <c r="N204" s="512">
        <f t="shared" si="69"/>
        <v>1767914.308161678</v>
      </c>
      <c r="O204" s="248"/>
      <c r="P204" s="470">
        <f t="shared" si="72"/>
        <v>348802.13067462418</v>
      </c>
    </row>
    <row r="205" spans="1:16" x14ac:dyDescent="0.3">
      <c r="A205" s="507">
        <v>16</v>
      </c>
      <c r="B205" s="508">
        <f t="shared" si="73"/>
        <v>2034</v>
      </c>
      <c r="C205" s="421">
        <v>37548.449999999997</v>
      </c>
      <c r="D205" s="509">
        <f t="shared" si="74"/>
        <v>13705184.249999998</v>
      </c>
      <c r="E205" s="513">
        <v>0.7</v>
      </c>
      <c r="F205" s="509">
        <f t="shared" si="64"/>
        <v>9593628.9749999978</v>
      </c>
      <c r="G205" s="510">
        <f t="shared" si="65"/>
        <v>3933387.8797499989</v>
      </c>
      <c r="H205" s="509">
        <v>3941.55</v>
      </c>
      <c r="I205" s="509">
        <f t="shared" si="71"/>
        <v>1438665.75</v>
      </c>
      <c r="J205" s="513">
        <v>0.7</v>
      </c>
      <c r="K205" s="511">
        <f t="shared" si="66"/>
        <v>1007066.0249999999</v>
      </c>
      <c r="L205" s="512">
        <f t="shared" si="67"/>
        <v>966783.38399999985</v>
      </c>
      <c r="M205" s="512">
        <f t="shared" si="68"/>
        <v>4900171.263749999</v>
      </c>
      <c r="N205" s="512">
        <f t="shared" si="69"/>
        <v>1659857.5421608025</v>
      </c>
      <c r="O205" s="248"/>
      <c r="P205" s="470">
        <f t="shared" si="72"/>
        <v>327482.9807356738</v>
      </c>
    </row>
    <row r="206" spans="1:16" x14ac:dyDescent="0.3">
      <c r="A206" s="507">
        <v>17</v>
      </c>
      <c r="B206" s="508">
        <f t="shared" si="73"/>
        <v>2035</v>
      </c>
      <c r="C206" s="421">
        <v>37729.449999999997</v>
      </c>
      <c r="D206" s="509">
        <f t="shared" si="74"/>
        <v>13771249.249999998</v>
      </c>
      <c r="E206" s="513">
        <v>0.7</v>
      </c>
      <c r="F206" s="509">
        <f t="shared" si="64"/>
        <v>9639874.4749999978</v>
      </c>
      <c r="G206" s="510">
        <f t="shared" si="65"/>
        <v>3952348.5347499987</v>
      </c>
      <c r="H206" s="509">
        <v>3960.55</v>
      </c>
      <c r="I206" s="509">
        <f t="shared" si="71"/>
        <v>1445600.75</v>
      </c>
      <c r="J206" s="513">
        <v>0.7</v>
      </c>
      <c r="K206" s="511">
        <f t="shared" si="66"/>
        <v>1011920.5249999999</v>
      </c>
      <c r="L206" s="512">
        <f t="shared" si="67"/>
        <v>971443.70399999991</v>
      </c>
      <c r="M206" s="512">
        <f t="shared" si="68"/>
        <v>4923792.2387499986</v>
      </c>
      <c r="N206" s="512">
        <f t="shared" si="69"/>
        <v>1558746.5267541972</v>
      </c>
      <c r="O206" s="248"/>
      <c r="P206" s="470">
        <f t="shared" si="72"/>
        <v>307534.1984639974</v>
      </c>
    </row>
    <row r="207" spans="1:16" x14ac:dyDescent="0.3">
      <c r="A207" s="507">
        <v>18</v>
      </c>
      <c r="B207" s="508">
        <f t="shared" si="73"/>
        <v>2036</v>
      </c>
      <c r="C207" s="421">
        <v>37901.4</v>
      </c>
      <c r="D207" s="509">
        <f t="shared" si="74"/>
        <v>13834011</v>
      </c>
      <c r="E207" s="513">
        <v>0.7</v>
      </c>
      <c r="F207" s="509">
        <f t="shared" si="64"/>
        <v>9683807.6999999993</v>
      </c>
      <c r="G207" s="510">
        <f t="shared" si="65"/>
        <v>3970361.1569999997</v>
      </c>
      <c r="H207" s="509">
        <v>3978.6</v>
      </c>
      <c r="I207" s="509">
        <f t="shared" si="71"/>
        <v>1452189</v>
      </c>
      <c r="J207" s="513">
        <v>0.7</v>
      </c>
      <c r="K207" s="511">
        <f t="shared" si="66"/>
        <v>1016532.2999999999</v>
      </c>
      <c r="L207" s="512">
        <f t="shared" si="67"/>
        <v>975871.00799999991</v>
      </c>
      <c r="M207" s="512">
        <f t="shared" si="68"/>
        <v>4946232.1649999991</v>
      </c>
      <c r="N207" s="512">
        <f t="shared" si="69"/>
        <v>1463411.6193727576</v>
      </c>
      <c r="O207" s="248"/>
      <c r="P207" s="470">
        <f t="shared" si="72"/>
        <v>288725.01825158572</v>
      </c>
    </row>
    <row r="208" spans="1:16" x14ac:dyDescent="0.3">
      <c r="A208" s="507">
        <v>19</v>
      </c>
      <c r="B208" s="508">
        <f t="shared" si="73"/>
        <v>2037</v>
      </c>
      <c r="C208" s="421">
        <v>38073.35</v>
      </c>
      <c r="D208" s="509">
        <f t="shared" si="74"/>
        <v>13896772.75</v>
      </c>
      <c r="E208" s="513">
        <v>0.7</v>
      </c>
      <c r="F208" s="509">
        <f t="shared" si="64"/>
        <v>9727740.9249999989</v>
      </c>
      <c r="G208" s="510">
        <f t="shared" si="65"/>
        <v>3988373.7792499992</v>
      </c>
      <c r="H208" s="509">
        <v>3996.65</v>
      </c>
      <c r="I208" s="509">
        <f t="shared" si="71"/>
        <v>1458777.25</v>
      </c>
      <c r="J208" s="513">
        <v>0.7</v>
      </c>
      <c r="K208" s="511">
        <f t="shared" si="66"/>
        <v>1021144.075</v>
      </c>
      <c r="L208" s="512">
        <f t="shared" si="67"/>
        <v>980298.31199999992</v>
      </c>
      <c r="M208" s="512">
        <f t="shared" si="68"/>
        <v>4968672.0912499987</v>
      </c>
      <c r="N208" s="512">
        <f t="shared" si="69"/>
        <v>1373879.2372290189</v>
      </c>
      <c r="O208" s="248"/>
      <c r="P208" s="470">
        <f t="shared" si="72"/>
        <v>271060.65210445982</v>
      </c>
    </row>
    <row r="209" spans="1:18" x14ac:dyDescent="0.3">
      <c r="A209" s="507">
        <v>20</v>
      </c>
      <c r="B209" s="508">
        <f t="shared" si="73"/>
        <v>2038</v>
      </c>
      <c r="C209" s="421">
        <v>38254.35</v>
      </c>
      <c r="D209" s="509">
        <f t="shared" si="74"/>
        <v>13962837.75</v>
      </c>
      <c r="E209" s="513">
        <v>0.7</v>
      </c>
      <c r="F209" s="509">
        <f t="shared" si="64"/>
        <v>9773986.4249999989</v>
      </c>
      <c r="G209" s="510">
        <f t="shared" si="65"/>
        <v>4007334.4342499995</v>
      </c>
      <c r="H209" s="509">
        <v>4015.65</v>
      </c>
      <c r="I209" s="509">
        <f t="shared" si="71"/>
        <v>1465712.25</v>
      </c>
      <c r="J209" s="513">
        <v>0.7</v>
      </c>
      <c r="K209" s="511">
        <f t="shared" si="66"/>
        <v>1025998.575</v>
      </c>
      <c r="L209" s="512">
        <f t="shared" si="67"/>
        <v>984958.63199999987</v>
      </c>
      <c r="M209" s="512">
        <f t="shared" si="68"/>
        <v>4992293.0662499992</v>
      </c>
      <c r="N209" s="512">
        <f t="shared" si="69"/>
        <v>1290103.3959349156</v>
      </c>
      <c r="O209" s="248"/>
      <c r="P209" s="470">
        <f t="shared" si="72"/>
        <v>254532.02749435222</v>
      </c>
      <c r="Q209" s="248"/>
      <c r="R209" s="248"/>
    </row>
    <row r="210" spans="1:18" x14ac:dyDescent="0.3">
      <c r="A210" s="507">
        <v>21</v>
      </c>
      <c r="B210" s="508">
        <f t="shared" si="73"/>
        <v>2039</v>
      </c>
      <c r="C210" s="421">
        <v>38426.300000000003</v>
      </c>
      <c r="D210" s="509">
        <f t="shared" si="74"/>
        <v>14025599.500000002</v>
      </c>
      <c r="E210" s="513">
        <v>0.7</v>
      </c>
      <c r="F210" s="509">
        <f t="shared" si="64"/>
        <v>9817919.6500000004</v>
      </c>
      <c r="G210" s="510">
        <f t="shared" si="65"/>
        <v>4025347.0564999999</v>
      </c>
      <c r="H210" s="509">
        <v>4033.7000000000003</v>
      </c>
      <c r="I210" s="509">
        <f t="shared" si="71"/>
        <v>1472300.5</v>
      </c>
      <c r="J210" s="513">
        <v>0.7</v>
      </c>
      <c r="K210" s="511">
        <f t="shared" si="66"/>
        <v>1030610.35</v>
      </c>
      <c r="L210" s="512">
        <f t="shared" si="67"/>
        <v>989385.93599999999</v>
      </c>
      <c r="M210" s="512">
        <f t="shared" si="68"/>
        <v>5014732.9924999997</v>
      </c>
      <c r="N210" s="512">
        <f t="shared" si="69"/>
        <v>1211123.6442052873</v>
      </c>
      <c r="O210" s="248"/>
      <c r="P210" s="470">
        <f t="shared" si="72"/>
        <v>238949.65138241692</v>
      </c>
      <c r="Q210" s="248"/>
      <c r="R210" s="248"/>
    </row>
    <row r="211" spans="1:18" x14ac:dyDescent="0.3">
      <c r="A211" s="507">
        <v>22</v>
      </c>
      <c r="B211" s="508">
        <f t="shared" si="73"/>
        <v>2040</v>
      </c>
      <c r="C211" s="421">
        <v>38607.300000000003</v>
      </c>
      <c r="D211" s="509">
        <f t="shared" si="74"/>
        <v>14091664.500000002</v>
      </c>
      <c r="E211" s="513">
        <v>0.7</v>
      </c>
      <c r="F211" s="509">
        <f t="shared" si="64"/>
        <v>9864165.1500000004</v>
      </c>
      <c r="G211" s="510">
        <f t="shared" si="65"/>
        <v>4044307.7114999997</v>
      </c>
      <c r="H211" s="509">
        <v>4052.7000000000003</v>
      </c>
      <c r="I211" s="509">
        <f t="shared" si="71"/>
        <v>1479235.5</v>
      </c>
      <c r="J211" s="513">
        <v>0.7</v>
      </c>
      <c r="K211" s="511">
        <f t="shared" si="66"/>
        <v>1035464.85</v>
      </c>
      <c r="L211" s="512">
        <f t="shared" si="67"/>
        <v>994046.25599999994</v>
      </c>
      <c r="M211" s="512">
        <f t="shared" si="68"/>
        <v>5038353.9674999993</v>
      </c>
      <c r="N211" s="512">
        <f t="shared" si="69"/>
        <v>1137222.8212984966</v>
      </c>
      <c r="O211" s="248"/>
      <c r="P211" s="470">
        <f t="shared" si="72"/>
        <v>224369.32677646921</v>
      </c>
      <c r="Q211" s="248"/>
      <c r="R211" s="248"/>
    </row>
    <row r="212" spans="1:18" x14ac:dyDescent="0.3">
      <c r="A212" s="507">
        <v>23</v>
      </c>
      <c r="B212" s="508">
        <f t="shared" si="73"/>
        <v>2041</v>
      </c>
      <c r="C212" s="421">
        <v>38779.25</v>
      </c>
      <c r="D212" s="509">
        <f t="shared" si="74"/>
        <v>14154426.25</v>
      </c>
      <c r="E212" s="513">
        <v>0.7</v>
      </c>
      <c r="F212" s="509">
        <f t="shared" si="64"/>
        <v>9908098.375</v>
      </c>
      <c r="G212" s="510">
        <f t="shared" si="65"/>
        <v>4062320.3337499998</v>
      </c>
      <c r="H212" s="509">
        <v>4070.75</v>
      </c>
      <c r="I212" s="509">
        <f t="shared" si="71"/>
        <v>1485823.75</v>
      </c>
      <c r="J212" s="513">
        <v>0.7</v>
      </c>
      <c r="K212" s="511">
        <f t="shared" si="66"/>
        <v>1040076.6249999999</v>
      </c>
      <c r="L212" s="512">
        <f t="shared" si="67"/>
        <v>998473.55999999982</v>
      </c>
      <c r="M212" s="512">
        <f t="shared" si="68"/>
        <v>5060793.8937499998</v>
      </c>
      <c r="N212" s="512">
        <f t="shared" si="69"/>
        <v>1067558.699139043</v>
      </c>
      <c r="O212" s="248"/>
      <c r="P212" s="470">
        <f t="shared" si="72"/>
        <v>210624.88558459861</v>
      </c>
      <c r="Q212" s="248"/>
      <c r="R212" s="248"/>
    </row>
    <row r="213" spans="1:18" x14ac:dyDescent="0.3">
      <c r="A213" s="507">
        <v>24</v>
      </c>
      <c r="B213" s="508">
        <f t="shared" si="73"/>
        <v>2042</v>
      </c>
      <c r="C213" s="421">
        <v>38951.199999999997</v>
      </c>
      <c r="D213" s="509">
        <f t="shared" si="74"/>
        <v>14217187.999999998</v>
      </c>
      <c r="E213" s="513">
        <v>0.7</v>
      </c>
      <c r="F213" s="509">
        <f t="shared" si="64"/>
        <v>9952031.5999999978</v>
      </c>
      <c r="G213" s="510">
        <f t="shared" si="65"/>
        <v>4080332.9559999988</v>
      </c>
      <c r="H213" s="509">
        <v>4088.8</v>
      </c>
      <c r="I213" s="509">
        <f t="shared" si="71"/>
        <v>1492412</v>
      </c>
      <c r="J213" s="513">
        <v>0.7</v>
      </c>
      <c r="K213" s="511">
        <f t="shared" si="66"/>
        <v>1044688.3999999999</v>
      </c>
      <c r="L213" s="512">
        <f t="shared" si="67"/>
        <v>1002900.8639999998</v>
      </c>
      <c r="M213" s="512">
        <f t="shared" si="68"/>
        <v>5083233.8199999984</v>
      </c>
      <c r="N213" s="512">
        <f t="shared" si="69"/>
        <v>1002142.366022408</v>
      </c>
      <c r="O213" s="248"/>
      <c r="P213" s="470">
        <f t="shared" si="72"/>
        <v>197718.51548132746</v>
      </c>
      <c r="Q213" s="248"/>
      <c r="R213" s="248"/>
    </row>
    <row r="214" spans="1:18" x14ac:dyDescent="0.3">
      <c r="A214" s="507">
        <v>25</v>
      </c>
      <c r="B214" s="508">
        <f t="shared" si="73"/>
        <v>2043</v>
      </c>
      <c r="C214" s="421">
        <v>39132.199999999997</v>
      </c>
      <c r="D214" s="509">
        <f t="shared" si="74"/>
        <v>14283252.999999998</v>
      </c>
      <c r="E214" s="513">
        <v>0.7</v>
      </c>
      <c r="F214" s="509">
        <f t="shared" si="64"/>
        <v>9998277.0999999978</v>
      </c>
      <c r="G214" s="510">
        <f t="shared" si="65"/>
        <v>4099293.6109999986</v>
      </c>
      <c r="H214" s="509">
        <v>4107.8</v>
      </c>
      <c r="I214" s="509">
        <f t="shared" si="71"/>
        <v>1499347</v>
      </c>
      <c r="J214" s="513">
        <v>0.7</v>
      </c>
      <c r="K214" s="511">
        <f t="shared" si="66"/>
        <v>1049542.8999999999</v>
      </c>
      <c r="L214" s="512">
        <f t="shared" si="67"/>
        <v>1007561.1839999999</v>
      </c>
      <c r="M214" s="512">
        <f t="shared" si="68"/>
        <v>5106854.7949999981</v>
      </c>
      <c r="N214" s="512">
        <f t="shared" si="69"/>
        <v>940933.795704255</v>
      </c>
      <c r="O214" s="248"/>
      <c r="P214" s="470">
        <f t="shared" si="72"/>
        <v>185642.31945533387</v>
      </c>
      <c r="Q214" s="248"/>
      <c r="R214" s="248"/>
    </row>
    <row r="215" spans="1:18" x14ac:dyDescent="0.3">
      <c r="A215" s="507">
        <v>26</v>
      </c>
      <c r="B215" s="508">
        <f t="shared" si="73"/>
        <v>2044</v>
      </c>
      <c r="C215" s="421">
        <v>39304.15</v>
      </c>
      <c r="D215" s="509">
        <f t="shared" si="74"/>
        <v>14346014.75</v>
      </c>
      <c r="E215" s="513">
        <v>0.7</v>
      </c>
      <c r="F215" s="509">
        <f t="shared" si="64"/>
        <v>10042210.324999999</v>
      </c>
      <c r="G215" s="510">
        <f t="shared" si="65"/>
        <v>4117306.2332499996</v>
      </c>
      <c r="H215" s="509">
        <v>4125.8500000000004</v>
      </c>
      <c r="I215" s="509">
        <f t="shared" si="71"/>
        <v>1505935.2500000002</v>
      </c>
      <c r="J215" s="513">
        <v>0.7</v>
      </c>
      <c r="K215" s="511">
        <f t="shared" si="66"/>
        <v>1054154.675</v>
      </c>
      <c r="L215" s="512">
        <f t="shared" si="67"/>
        <v>1011988.488</v>
      </c>
      <c r="M215" s="512">
        <f t="shared" si="68"/>
        <v>5129294.7212499995</v>
      </c>
      <c r="N215" s="512">
        <f t="shared" si="69"/>
        <v>883241.43332661455</v>
      </c>
      <c r="O215" s="248"/>
      <c r="P215" s="470">
        <f t="shared" si="72"/>
        <v>174259.85661306061</v>
      </c>
      <c r="Q215" s="248"/>
      <c r="R215" s="248"/>
    </row>
    <row r="216" spans="1:18" x14ac:dyDescent="0.3">
      <c r="A216" s="507">
        <v>27</v>
      </c>
      <c r="B216" s="508">
        <f t="shared" si="73"/>
        <v>2045</v>
      </c>
      <c r="C216" s="421">
        <v>39476.1</v>
      </c>
      <c r="D216" s="509">
        <f t="shared" si="74"/>
        <v>14408776.5</v>
      </c>
      <c r="E216" s="513">
        <v>0.7</v>
      </c>
      <c r="F216" s="509">
        <f t="shared" si="64"/>
        <v>10086143.549999999</v>
      </c>
      <c r="G216" s="510">
        <f t="shared" si="65"/>
        <v>4135318.8554999991</v>
      </c>
      <c r="H216" s="509">
        <v>4143.8999999999996</v>
      </c>
      <c r="I216" s="509">
        <f t="shared" si="71"/>
        <v>1512523.4999999998</v>
      </c>
      <c r="J216" s="513">
        <v>0.7</v>
      </c>
      <c r="K216" s="511">
        <f t="shared" si="66"/>
        <v>1058766.4499999997</v>
      </c>
      <c r="L216" s="512">
        <f t="shared" si="67"/>
        <v>1016415.7919999997</v>
      </c>
      <c r="M216" s="512">
        <f t="shared" si="68"/>
        <v>5151734.647499999</v>
      </c>
      <c r="N216" s="512">
        <f t="shared" si="69"/>
        <v>829070.54905642371</v>
      </c>
      <c r="O216" s="248"/>
      <c r="P216" s="470">
        <f t="shared" si="72"/>
        <v>163572.16673649719</v>
      </c>
      <c r="Q216" s="248"/>
      <c r="R216" s="248"/>
    </row>
    <row r="217" spans="1:18" x14ac:dyDescent="0.3">
      <c r="A217" s="507">
        <v>28</v>
      </c>
      <c r="B217" s="508">
        <f t="shared" si="73"/>
        <v>2046</v>
      </c>
      <c r="C217" s="421">
        <v>39657.1</v>
      </c>
      <c r="D217" s="509">
        <f t="shared" si="74"/>
        <v>14474841.5</v>
      </c>
      <c r="E217" s="513">
        <v>0.7</v>
      </c>
      <c r="F217" s="509">
        <f t="shared" si="64"/>
        <v>10132389.049999999</v>
      </c>
      <c r="G217" s="510">
        <f t="shared" si="65"/>
        <v>4154279.5104999994</v>
      </c>
      <c r="H217" s="509">
        <v>4162.8999999999996</v>
      </c>
      <c r="I217" s="509">
        <f t="shared" si="71"/>
        <v>1519458.4999999998</v>
      </c>
      <c r="J217" s="513">
        <v>0.7</v>
      </c>
      <c r="K217" s="511">
        <f t="shared" si="66"/>
        <v>1063620.9499999997</v>
      </c>
      <c r="L217" s="512">
        <f t="shared" si="67"/>
        <v>1021076.1119999997</v>
      </c>
      <c r="M217" s="512">
        <f t="shared" si="68"/>
        <v>5175355.6224999987</v>
      </c>
      <c r="N217" s="512">
        <f t="shared" si="69"/>
        <v>778384.9357375399</v>
      </c>
      <c r="O217" s="248"/>
      <c r="P217" s="470">
        <f t="shared" si="72"/>
        <v>153572.10630451841</v>
      </c>
      <c r="Q217" s="248"/>
      <c r="R217" s="248"/>
    </row>
    <row r="218" spans="1:18" x14ac:dyDescent="0.3">
      <c r="A218" s="507">
        <v>29</v>
      </c>
      <c r="B218" s="508">
        <f t="shared" si="73"/>
        <v>2047</v>
      </c>
      <c r="C218" s="421">
        <v>39829.050000000003</v>
      </c>
      <c r="D218" s="509">
        <f t="shared" si="74"/>
        <v>14537603.250000002</v>
      </c>
      <c r="E218" s="513">
        <v>0.7</v>
      </c>
      <c r="F218" s="509">
        <f t="shared" si="64"/>
        <v>10176322.275</v>
      </c>
      <c r="G218" s="510">
        <f t="shared" si="65"/>
        <v>4172292.1327499999</v>
      </c>
      <c r="H218" s="509">
        <v>4180.95</v>
      </c>
      <c r="I218" s="509">
        <f t="shared" si="71"/>
        <v>1526046.75</v>
      </c>
      <c r="J218" s="513">
        <v>0.7</v>
      </c>
      <c r="K218" s="511">
        <f t="shared" si="66"/>
        <v>1068232.7249999999</v>
      </c>
      <c r="L218" s="512">
        <f t="shared" si="67"/>
        <v>1025503.4159999999</v>
      </c>
      <c r="M218" s="512">
        <f t="shared" si="68"/>
        <v>5197795.5487500001</v>
      </c>
      <c r="N218" s="512">
        <f t="shared" si="69"/>
        <v>730616.77597412386</v>
      </c>
      <c r="O218" s="248"/>
      <c r="P218" s="470">
        <f t="shared" si="72"/>
        <v>144147.64730955131</v>
      </c>
      <c r="Q218" s="248"/>
      <c r="R218" s="248"/>
    </row>
    <row r="219" spans="1:18" x14ac:dyDescent="0.3">
      <c r="A219" s="507">
        <f>1+A218</f>
        <v>30</v>
      </c>
      <c r="B219" s="508">
        <f t="shared" si="73"/>
        <v>2048</v>
      </c>
      <c r="C219" s="421">
        <v>40010.050000000003</v>
      </c>
      <c r="D219" s="509">
        <f t="shared" si="74"/>
        <v>14603668.250000002</v>
      </c>
      <c r="E219" s="513">
        <v>0.7</v>
      </c>
      <c r="F219" s="509">
        <f t="shared" si="64"/>
        <v>10222567.775</v>
      </c>
      <c r="G219" s="510">
        <f t="shared" si="65"/>
        <v>4191252.7877500001</v>
      </c>
      <c r="H219" s="509">
        <v>4199.95</v>
      </c>
      <c r="I219" s="509">
        <f t="shared" si="71"/>
        <v>1532981.75</v>
      </c>
      <c r="J219" s="513">
        <v>0.7</v>
      </c>
      <c r="K219" s="511">
        <f t="shared" si="66"/>
        <v>1073087.2249999999</v>
      </c>
      <c r="L219" s="512">
        <f t="shared" si="67"/>
        <v>1030163.7359999998</v>
      </c>
      <c r="M219" s="512">
        <f t="shared" si="68"/>
        <v>5221416.5237499997</v>
      </c>
      <c r="N219" s="512">
        <f t="shared" si="69"/>
        <v>685922.43618837721</v>
      </c>
      <c r="O219" s="248"/>
      <c r="P219" s="470">
        <f t="shared" si="72"/>
        <v>135329.6401955219</v>
      </c>
      <c r="Q219" s="248"/>
      <c r="R219" s="248"/>
    </row>
    <row r="220" spans="1:18" ht="16.8" thickBot="1" x14ac:dyDescent="0.35">
      <c r="A220" s="515">
        <f>1+A219</f>
        <v>31</v>
      </c>
      <c r="B220" s="516">
        <f t="shared" si="73"/>
        <v>2049</v>
      </c>
      <c r="C220" s="517">
        <v>40010.050000000003</v>
      </c>
      <c r="D220" s="518">
        <f t="shared" si="74"/>
        <v>14603668.250000002</v>
      </c>
      <c r="E220" s="519">
        <v>0.7</v>
      </c>
      <c r="F220" s="518">
        <f t="shared" si="64"/>
        <v>10222567.775</v>
      </c>
      <c r="G220" s="510">
        <f t="shared" si="65"/>
        <v>4191252.7877500001</v>
      </c>
      <c r="H220" s="518">
        <v>4199.95</v>
      </c>
      <c r="I220" s="518">
        <f t="shared" si="71"/>
        <v>1532981.75</v>
      </c>
      <c r="J220" s="519">
        <v>0.7</v>
      </c>
      <c r="K220" s="520">
        <f t="shared" si="66"/>
        <v>1073087.2249999999</v>
      </c>
      <c r="L220" s="512">
        <f t="shared" si="67"/>
        <v>1030163.7359999998</v>
      </c>
      <c r="M220" s="521">
        <f t="shared" si="68"/>
        <v>5221416.5237499997</v>
      </c>
      <c r="N220" s="521">
        <f t="shared" si="69"/>
        <v>641049.00578353007</v>
      </c>
      <c r="O220" s="248"/>
      <c r="P220" s="470">
        <f t="shared" si="72"/>
        <v>126476.29924815128</v>
      </c>
      <c r="Q220" s="248"/>
      <c r="R220" s="248"/>
    </row>
    <row r="221" spans="1:18" ht="16.8" thickBot="1" x14ac:dyDescent="0.35">
      <c r="A221" s="148" t="s">
        <v>40</v>
      </c>
      <c r="B221" s="149"/>
      <c r="C221" s="27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50">
        <f>SUM(N189:N220)</f>
        <v>37985981.025159344</v>
      </c>
      <c r="O221" s="248"/>
      <c r="P221" s="475">
        <f>SUM(P189:P218)</f>
        <v>7232669.9274996072</v>
      </c>
      <c r="Q221" s="248"/>
      <c r="R221" s="248"/>
    </row>
    <row r="223" spans="1:18" x14ac:dyDescent="0.25">
      <c r="A223" s="579" t="s">
        <v>180</v>
      </c>
      <c r="B223" s="580"/>
      <c r="C223" s="580"/>
      <c r="D223" s="315"/>
      <c r="E223" s="315"/>
      <c r="F223" s="315"/>
      <c r="G223" s="315"/>
      <c r="H223" s="315"/>
      <c r="I223" s="315"/>
      <c r="J223" s="315"/>
      <c r="K223" s="315"/>
      <c r="L223" s="315"/>
      <c r="M223" s="316"/>
      <c r="N223" s="317">
        <f>SUM(N221,N184,N147,N110,N73,N36,)</f>
        <v>100607451.44453996</v>
      </c>
      <c r="O223" s="194"/>
      <c r="P223" s="437">
        <f>SUM(P221,P184,P147,P110,P73,P36,)</f>
        <v>26750565.499381948</v>
      </c>
      <c r="Q223" s="193"/>
      <c r="R223" s="192"/>
    </row>
  </sheetData>
  <mergeCells count="7">
    <mergeCell ref="A186:N186"/>
    <mergeCell ref="A223:C223"/>
    <mergeCell ref="A1:N1"/>
    <mergeCell ref="A38:N38"/>
    <mergeCell ref="A75:N75"/>
    <mergeCell ref="A112:N112"/>
    <mergeCell ref="A149:N149"/>
  </mergeCells>
  <pageMargins left="0.75" right="0.75" top="1" bottom="1" header="0.5" footer="0.5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31"/>
  <sheetViews>
    <sheetView workbookViewId="0">
      <selection activeCell="I14" sqref="I14"/>
    </sheetView>
  </sheetViews>
  <sheetFormatPr defaultColWidth="10.6640625" defaultRowHeight="14.4" x14ac:dyDescent="0.3"/>
  <cols>
    <col min="1" max="8" width="10.6640625" style="13"/>
    <col min="9" max="9" width="20.5546875" style="13" customWidth="1"/>
    <col min="10" max="15" width="12.6640625" style="13" customWidth="1"/>
    <col min="16" max="17" width="19.5546875" style="13" customWidth="1"/>
    <col min="18" max="18" width="10.6640625" style="13"/>
    <col min="19" max="20" width="11.5546875" style="13" bestFit="1" customWidth="1"/>
    <col min="21" max="16384" width="10.6640625" style="13"/>
  </cols>
  <sheetData>
    <row r="2" spans="1:20" ht="15" thickBot="1" x14ac:dyDescent="0.35"/>
    <row r="3" spans="1:20" ht="23.4" x14ac:dyDescent="0.45">
      <c r="A3" s="250" t="s">
        <v>261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9"/>
    </row>
    <row r="4" spans="1:20" x14ac:dyDescent="0.3">
      <c r="A4" s="320" t="s">
        <v>262</v>
      </c>
      <c r="B4"/>
      <c r="C4"/>
      <c r="D4"/>
      <c r="E4"/>
      <c r="F4"/>
      <c r="G4"/>
      <c r="H4"/>
      <c r="I4"/>
      <c r="J4"/>
      <c r="K4"/>
      <c r="L4" t="s">
        <v>263</v>
      </c>
      <c r="M4"/>
      <c r="N4"/>
      <c r="O4"/>
      <c r="P4"/>
      <c r="Q4" s="21"/>
      <c r="R4"/>
      <c r="S4"/>
      <c r="T4"/>
    </row>
    <row r="5" spans="1:20" x14ac:dyDescent="0.3">
      <c r="A5" s="321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 s="21"/>
      <c r="R5"/>
      <c r="S5"/>
      <c r="T5"/>
    </row>
    <row r="6" spans="1:20" x14ac:dyDescent="0.3">
      <c r="A6" s="321" t="s">
        <v>264</v>
      </c>
      <c r="B6"/>
      <c r="C6" t="s">
        <v>265</v>
      </c>
      <c r="D6"/>
      <c r="E6"/>
      <c r="F6"/>
      <c r="G6">
        <f>14404+14344+14829+14985+14943</f>
        <v>73505</v>
      </c>
      <c r="H6"/>
      <c r="I6"/>
      <c r="J6"/>
      <c r="K6"/>
      <c r="L6" s="19" t="s">
        <v>266</v>
      </c>
      <c r="M6"/>
      <c r="N6"/>
      <c r="O6"/>
      <c r="P6"/>
      <c r="Q6" s="21"/>
      <c r="R6"/>
      <c r="S6"/>
      <c r="T6"/>
    </row>
    <row r="7" spans="1:20" x14ac:dyDescent="0.3">
      <c r="A7" s="321"/>
      <c r="B7"/>
      <c r="C7" s="11" t="s">
        <v>267</v>
      </c>
      <c r="D7"/>
      <c r="E7"/>
      <c r="F7"/>
      <c r="G7" s="22" t="s">
        <v>155</v>
      </c>
      <c r="H7" s="22" t="s">
        <v>145</v>
      </c>
      <c r="I7" s="22" t="s">
        <v>146</v>
      </c>
      <c r="J7" s="22" t="s">
        <v>147</v>
      </c>
      <c r="K7" s="22" t="s">
        <v>268</v>
      </c>
      <c r="L7"/>
      <c r="M7"/>
      <c r="N7"/>
      <c r="O7"/>
      <c r="P7"/>
      <c r="Q7" s="21"/>
      <c r="R7"/>
      <c r="S7"/>
      <c r="T7"/>
    </row>
    <row r="8" spans="1:20" x14ac:dyDescent="0.3">
      <c r="A8" s="321"/>
      <c r="B8"/>
      <c r="C8" t="s">
        <v>269</v>
      </c>
      <c r="D8"/>
      <c r="E8"/>
      <c r="F8"/>
      <c r="G8">
        <v>685</v>
      </c>
      <c r="H8">
        <v>3303</v>
      </c>
      <c r="I8">
        <v>10918</v>
      </c>
      <c r="J8">
        <v>26728</v>
      </c>
      <c r="K8">
        <v>121686</v>
      </c>
      <c r="L8" s="19" t="s">
        <v>266</v>
      </c>
      <c r="M8"/>
      <c r="N8"/>
      <c r="O8"/>
      <c r="P8"/>
      <c r="Q8" s="21"/>
      <c r="R8"/>
      <c r="S8"/>
      <c r="T8"/>
    </row>
    <row r="9" spans="1:20" x14ac:dyDescent="0.3">
      <c r="A9" s="321"/>
      <c r="B9"/>
      <c r="C9" t="s">
        <v>270</v>
      </c>
      <c r="D9"/>
      <c r="E9"/>
      <c r="F9"/>
      <c r="G9">
        <v>9600000</v>
      </c>
      <c r="H9">
        <v>459100</v>
      </c>
      <c r="I9">
        <v>125000</v>
      </c>
      <c r="J9">
        <v>63900</v>
      </c>
      <c r="K9">
        <v>4400</v>
      </c>
      <c r="L9" s="19" t="s">
        <v>271</v>
      </c>
      <c r="M9"/>
      <c r="N9"/>
      <c r="O9"/>
      <c r="P9"/>
      <c r="Q9" s="21"/>
      <c r="R9"/>
      <c r="S9"/>
      <c r="T9"/>
    </row>
    <row r="10" spans="1:20" x14ac:dyDescent="0.3">
      <c r="A10" s="321"/>
      <c r="B10"/>
      <c r="C10" t="s">
        <v>272</v>
      </c>
      <c r="D10"/>
      <c r="E10"/>
      <c r="F10"/>
      <c r="G10">
        <f>(G8*G9+H8*H9+I8*I9+J8*J9+K8*K9)/5</f>
        <v>2340098980</v>
      </c>
      <c r="H10"/>
      <c r="I10" s="322" t="s">
        <v>273</v>
      </c>
      <c r="J10" s="522">
        <f>G8/(G6/100)</f>
        <v>0.93190939391878114</v>
      </c>
      <c r="K10"/>
      <c r="L10"/>
      <c r="M10"/>
      <c r="N10"/>
      <c r="O10"/>
      <c r="P10"/>
      <c r="Q10" s="21"/>
      <c r="R10"/>
      <c r="S10"/>
      <c r="T10"/>
    </row>
    <row r="11" spans="1:20" x14ac:dyDescent="0.3">
      <c r="A11" s="321"/>
      <c r="B11"/>
      <c r="C11" t="s">
        <v>274</v>
      </c>
      <c r="D11"/>
      <c r="E11"/>
      <c r="F11"/>
      <c r="G11" s="23">
        <f>ROUND(G10/(G6/5)/1000000,2)</f>
        <v>0.16</v>
      </c>
      <c r="H11"/>
      <c r="I11" s="323" t="s">
        <v>275</v>
      </c>
      <c r="J11" s="92">
        <f>(H8+I8+J8)/(G6/100)</f>
        <v>55.709135432963748</v>
      </c>
      <c r="K11"/>
      <c r="L11"/>
      <c r="M11"/>
      <c r="N11"/>
      <c r="O11"/>
      <c r="P11"/>
      <c r="Q11" s="21"/>
      <c r="R11"/>
      <c r="S11"/>
      <c r="T11"/>
    </row>
    <row r="12" spans="1:20" x14ac:dyDescent="0.3">
      <c r="A12" s="321"/>
      <c r="B12"/>
      <c r="C12"/>
      <c r="D12"/>
      <c r="E12"/>
      <c r="F12"/>
      <c r="G12" s="23"/>
      <c r="H12"/>
      <c r="I12" s="523" t="s">
        <v>276</v>
      </c>
      <c r="J12" s="524">
        <f>K8/(G6/100)</f>
        <v>165.54792191007417</v>
      </c>
      <c r="K12"/>
      <c r="L12"/>
      <c r="M12"/>
      <c r="N12"/>
      <c r="O12"/>
      <c r="P12"/>
      <c r="Q12" s="21"/>
      <c r="R12"/>
      <c r="S12"/>
      <c r="T12"/>
    </row>
    <row r="13" spans="1:20" x14ac:dyDescent="0.3">
      <c r="A13" s="321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 s="21"/>
      <c r="R13"/>
      <c r="S13"/>
      <c r="T13"/>
    </row>
    <row r="14" spans="1:20" x14ac:dyDescent="0.3">
      <c r="A14" s="320" t="s">
        <v>277</v>
      </c>
      <c r="B14"/>
      <c r="C14" t="s">
        <v>278</v>
      </c>
      <c r="D14"/>
      <c r="E14"/>
      <c r="F14"/>
      <c r="G14" s="23">
        <v>0.41</v>
      </c>
      <c r="H14"/>
      <c r="I14"/>
      <c r="J14"/>
      <c r="K14"/>
      <c r="L14" s="19" t="s">
        <v>279</v>
      </c>
      <c r="M14"/>
      <c r="N14"/>
      <c r="O14"/>
      <c r="P14"/>
      <c r="Q14" s="21"/>
      <c r="R14"/>
      <c r="S14"/>
      <c r="T14"/>
    </row>
    <row r="15" spans="1:20" x14ac:dyDescent="0.3">
      <c r="A15" s="321"/>
      <c r="B15"/>
      <c r="C15" t="s">
        <v>280</v>
      </c>
      <c r="D15"/>
      <c r="E15"/>
      <c r="F15"/>
      <c r="G15" s="23">
        <v>0.96</v>
      </c>
      <c r="H15"/>
      <c r="I15"/>
      <c r="J15"/>
      <c r="K15"/>
      <c r="L15" s="19" t="s">
        <v>279</v>
      </c>
      <c r="M15"/>
      <c r="N15"/>
      <c r="O15"/>
      <c r="P15"/>
      <c r="Q15" s="21"/>
      <c r="R15"/>
      <c r="S15"/>
      <c r="T15"/>
    </row>
    <row r="16" spans="1:20" x14ac:dyDescent="0.3">
      <c r="A16" s="321"/>
      <c r="B16"/>
      <c r="C16"/>
      <c r="D16"/>
      <c r="E16"/>
      <c r="F16"/>
      <c r="G16"/>
      <c r="H16"/>
      <c r="I16"/>
      <c r="J16"/>
      <c r="K16"/>
      <c r="L16" s="19"/>
      <c r="M16"/>
      <c r="N16"/>
      <c r="O16"/>
      <c r="P16"/>
      <c r="Q16" s="21"/>
      <c r="R16"/>
      <c r="S16"/>
      <c r="T16"/>
    </row>
    <row r="17" spans="1:20" x14ac:dyDescent="0.3">
      <c r="A17" s="320" t="s">
        <v>281</v>
      </c>
      <c r="B17"/>
      <c r="C17" t="s">
        <v>282</v>
      </c>
      <c r="D17"/>
      <c r="E17"/>
      <c r="F17"/>
      <c r="G17" s="23">
        <v>16.600000000000001</v>
      </c>
      <c r="H17"/>
      <c r="I17"/>
      <c r="J17"/>
      <c r="K17"/>
      <c r="L17" s="19" t="s">
        <v>283</v>
      </c>
      <c r="M17"/>
      <c r="N17"/>
      <c r="O17"/>
      <c r="P17"/>
      <c r="Q17" s="21"/>
      <c r="R17"/>
      <c r="S17"/>
      <c r="T17"/>
    </row>
    <row r="18" spans="1:20" x14ac:dyDescent="0.3">
      <c r="A18" s="321"/>
      <c r="B18"/>
      <c r="C18" s="11" t="s">
        <v>284</v>
      </c>
      <c r="D18"/>
      <c r="E18"/>
      <c r="F18"/>
      <c r="G18" s="23">
        <v>1.67</v>
      </c>
      <c r="H18"/>
      <c r="I18"/>
      <c r="J18"/>
      <c r="K18"/>
      <c r="L18" s="19" t="s">
        <v>285</v>
      </c>
      <c r="M18"/>
      <c r="N18"/>
      <c r="O18"/>
      <c r="P18"/>
      <c r="Q18" s="21"/>
      <c r="R18"/>
      <c r="S18"/>
      <c r="T18"/>
    </row>
    <row r="19" spans="1:20" x14ac:dyDescent="0.3">
      <c r="A19" s="321"/>
      <c r="B19"/>
      <c r="C19" s="11" t="s">
        <v>286</v>
      </c>
      <c r="D19"/>
      <c r="E19"/>
      <c r="F19"/>
      <c r="G19" s="23">
        <f>ROUND(G17*G18,2)</f>
        <v>27.72</v>
      </c>
      <c r="H19"/>
      <c r="I19"/>
      <c r="J19"/>
      <c r="K19"/>
      <c r="L19"/>
      <c r="M19"/>
      <c r="N19"/>
      <c r="O19"/>
      <c r="P19"/>
      <c r="Q19" s="21"/>
      <c r="R19"/>
      <c r="S19"/>
      <c r="T19"/>
    </row>
    <row r="20" spans="1:20" x14ac:dyDescent="0.3">
      <c r="A20" s="321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21"/>
      <c r="R20"/>
      <c r="S20"/>
      <c r="T20"/>
    </row>
    <row r="21" spans="1:20" x14ac:dyDescent="0.3">
      <c r="A21" s="321"/>
      <c r="B21"/>
      <c r="C21" t="s">
        <v>287</v>
      </c>
      <c r="D21"/>
      <c r="E21"/>
      <c r="F21"/>
      <c r="G21" s="23">
        <v>29.5</v>
      </c>
      <c r="H21"/>
      <c r="I21"/>
      <c r="J21"/>
      <c r="K21"/>
      <c r="L21" s="19" t="s">
        <v>283</v>
      </c>
      <c r="M21"/>
      <c r="N21"/>
      <c r="O21"/>
      <c r="P21"/>
      <c r="Q21" s="21"/>
      <c r="R21"/>
      <c r="S21"/>
      <c r="T21"/>
    </row>
    <row r="22" spans="1:20" x14ac:dyDescent="0.3">
      <c r="A22" s="321"/>
      <c r="B22"/>
      <c r="C22" t="s">
        <v>288</v>
      </c>
      <c r="D22"/>
      <c r="E22"/>
      <c r="F22"/>
      <c r="G22" s="23">
        <v>1</v>
      </c>
      <c r="H22"/>
      <c r="I22"/>
      <c r="J22"/>
      <c r="K22"/>
      <c r="L22" s="19" t="s">
        <v>271</v>
      </c>
      <c r="M22"/>
      <c r="N22"/>
      <c r="O22"/>
      <c r="P22"/>
      <c r="Q22" s="21"/>
      <c r="R22"/>
      <c r="S22"/>
      <c r="T22"/>
    </row>
    <row r="23" spans="1:20" x14ac:dyDescent="0.3">
      <c r="A23" s="321"/>
      <c r="B23"/>
      <c r="C23" t="s">
        <v>289</v>
      </c>
      <c r="D23"/>
      <c r="E23"/>
      <c r="F23"/>
      <c r="G23" s="23">
        <f>ROUND(G21*G22,2)</f>
        <v>29.5</v>
      </c>
      <c r="H23"/>
      <c r="I23"/>
      <c r="J23"/>
      <c r="K23"/>
      <c r="L23"/>
      <c r="M23"/>
      <c r="N23"/>
      <c r="O23"/>
      <c r="P23"/>
      <c r="Q23" s="21"/>
      <c r="R23"/>
      <c r="S23"/>
      <c r="T23"/>
    </row>
    <row r="24" spans="1:20" ht="15" thickBo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  <c r="R24"/>
      <c r="S24"/>
      <c r="T24"/>
    </row>
    <row r="25" spans="1:20" x14ac:dyDescent="0.3">
      <c r="A25" s="11" t="s">
        <v>290</v>
      </c>
      <c r="B25"/>
      <c r="C25" s="11" t="s">
        <v>291</v>
      </c>
      <c r="D25"/>
      <c r="E25"/>
      <c r="F25"/>
      <c r="G25"/>
      <c r="H25"/>
      <c r="I25"/>
      <c r="J25"/>
      <c r="K25"/>
      <c r="L25" s="19" t="s">
        <v>292</v>
      </c>
      <c r="M25"/>
      <c r="N25"/>
      <c r="O25"/>
      <c r="P25"/>
      <c r="Q25"/>
      <c r="R25"/>
      <c r="S25"/>
      <c r="T25"/>
    </row>
    <row r="26" spans="1:20" x14ac:dyDescent="0.3">
      <c r="A26" t="s">
        <v>207</v>
      </c>
      <c r="B26"/>
      <c r="C26" s="12">
        <v>2100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3">
      <c r="A27" t="s">
        <v>213</v>
      </c>
      <c r="B27"/>
      <c r="C27" s="12">
        <v>8600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3">
      <c r="A28" t="s">
        <v>209</v>
      </c>
      <c r="B28"/>
      <c r="C28" s="12">
        <v>387300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3">
      <c r="A29" t="s">
        <v>210</v>
      </c>
      <c r="B29"/>
      <c r="C29" s="12">
        <v>50100</v>
      </c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</sheetData>
  <pageMargins left="0.75" right="0.75" top="1" bottom="1" header="0.5" footer="0.5"/>
  <pageSetup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260F-8046-4EA4-A707-479DEA0FE5BA}">
  <dimension ref="A2:I54"/>
  <sheetViews>
    <sheetView workbookViewId="0">
      <selection activeCell="A51" sqref="A51"/>
    </sheetView>
  </sheetViews>
  <sheetFormatPr defaultColWidth="10.6640625" defaultRowHeight="13.2" x14ac:dyDescent="0.25"/>
  <cols>
    <col min="1" max="1" width="25.6640625" customWidth="1"/>
    <col min="5" max="5" width="35.6640625" customWidth="1"/>
    <col min="6" max="9" width="15.6640625" customWidth="1"/>
  </cols>
  <sheetData>
    <row r="2" spans="1:9" x14ac:dyDescent="0.25">
      <c r="E2" s="11" t="s">
        <v>293</v>
      </c>
      <c r="G2" s="11"/>
    </row>
    <row r="3" spans="1:9" x14ac:dyDescent="0.25">
      <c r="G3" s="11" t="s">
        <v>294</v>
      </c>
    </row>
    <row r="4" spans="1:9" x14ac:dyDescent="0.25">
      <c r="E4" t="s">
        <v>207</v>
      </c>
      <c r="F4" t="s">
        <v>206</v>
      </c>
      <c r="G4" s="20">
        <f>G21</f>
        <v>3.6432281029351699E-2</v>
      </c>
    </row>
    <row r="5" spans="1:9" x14ac:dyDescent="0.25">
      <c r="E5" t="s">
        <v>213</v>
      </c>
      <c r="F5" t="s">
        <v>206</v>
      </c>
      <c r="G5" s="20">
        <f>G23</f>
        <v>0.19581096457956468</v>
      </c>
    </row>
    <row r="6" spans="1:9" x14ac:dyDescent="0.25">
      <c r="E6" t="s">
        <v>209</v>
      </c>
      <c r="F6" t="s">
        <v>206</v>
      </c>
      <c r="G6" s="20">
        <f>SUM(G15:G17)</f>
        <v>8.753858610025091E-3</v>
      </c>
      <c r="H6" s="11" t="s">
        <v>295</v>
      </c>
    </row>
    <row r="7" spans="1:9" x14ac:dyDescent="0.25">
      <c r="E7" t="s">
        <v>210</v>
      </c>
      <c r="F7" t="s">
        <v>206</v>
      </c>
      <c r="G7" s="20">
        <f>G22</f>
        <v>2.2429538425628756E-3</v>
      </c>
    </row>
    <row r="8" spans="1:9" x14ac:dyDescent="0.25">
      <c r="E8" t="s">
        <v>207</v>
      </c>
      <c r="F8" t="s">
        <v>217</v>
      </c>
      <c r="G8" s="20">
        <f>G32</f>
        <v>0.1926184710123312</v>
      </c>
    </row>
    <row r="9" spans="1:9" x14ac:dyDescent="0.25">
      <c r="E9" t="s">
        <v>213</v>
      </c>
      <c r="F9" t="s">
        <v>217</v>
      </c>
      <c r="G9" s="20">
        <f>G34</f>
        <v>3.5876303775197051</v>
      </c>
    </row>
    <row r="10" spans="1:9" x14ac:dyDescent="0.25">
      <c r="E10" t="s">
        <v>209</v>
      </c>
      <c r="F10" t="s">
        <v>217</v>
      </c>
      <c r="G10" s="20">
        <f>SUM(G26:G28)</f>
        <v>0.13760098285564054</v>
      </c>
      <c r="H10" s="11" t="s">
        <v>295</v>
      </c>
    </row>
    <row r="11" spans="1:9" x14ac:dyDescent="0.25">
      <c r="E11" t="s">
        <v>210</v>
      </c>
      <c r="F11" t="s">
        <v>217</v>
      </c>
      <c r="G11" s="20">
        <f>G33</f>
        <v>1.13555217375917E-2</v>
      </c>
    </row>
    <row r="12" spans="1:9" x14ac:dyDescent="0.25">
      <c r="F12" s="11" t="s">
        <v>296</v>
      </c>
      <c r="G12" s="18" t="s">
        <v>297</v>
      </c>
    </row>
    <row r="13" spans="1:9" ht="14.4" x14ac:dyDescent="0.3">
      <c r="A13" s="19"/>
      <c r="F13" s="11"/>
      <c r="G13" s="18"/>
    </row>
    <row r="14" spans="1:9" ht="39.6" x14ac:dyDescent="0.25">
      <c r="A14" t="s">
        <v>298</v>
      </c>
      <c r="B14" t="s">
        <v>299</v>
      </c>
      <c r="C14" t="s">
        <v>300</v>
      </c>
      <c r="D14" t="s">
        <v>301</v>
      </c>
      <c r="E14" t="s">
        <v>302</v>
      </c>
      <c r="F14" s="17" t="s">
        <v>303</v>
      </c>
      <c r="G14" s="17" t="s">
        <v>304</v>
      </c>
      <c r="H14" s="17" t="s">
        <v>305</v>
      </c>
      <c r="I14" s="17" t="s">
        <v>306</v>
      </c>
    </row>
    <row r="15" spans="1:9" x14ac:dyDescent="0.25">
      <c r="A15" t="s">
        <v>307</v>
      </c>
      <c r="B15">
        <v>23</v>
      </c>
      <c r="C15" t="s">
        <v>308</v>
      </c>
      <c r="D15">
        <v>117</v>
      </c>
      <c r="E15" t="s">
        <v>309</v>
      </c>
      <c r="F15">
        <v>1.2253297599976044E-3</v>
      </c>
      <c r="G15" s="16">
        <v>1.2251925657933128E-3</v>
      </c>
      <c r="H15">
        <v>5.0195498774874343E-2</v>
      </c>
      <c r="I15">
        <v>5.0189140412104989E-2</v>
      </c>
    </row>
    <row r="16" spans="1:9" x14ac:dyDescent="0.25">
      <c r="A16" t="s">
        <v>307</v>
      </c>
      <c r="B16">
        <v>23</v>
      </c>
      <c r="C16" t="s">
        <v>308</v>
      </c>
      <c r="D16">
        <v>116</v>
      </c>
      <c r="E16" t="s">
        <v>310</v>
      </c>
      <c r="F16">
        <v>2.149541105837613E-3</v>
      </c>
      <c r="G16" s="16">
        <v>2.1493989613117813E-3</v>
      </c>
      <c r="H16">
        <v>8.8055714850853603E-2</v>
      </c>
      <c r="I16">
        <v>8.8048596835110196E-2</v>
      </c>
    </row>
    <row r="17" spans="1:9" x14ac:dyDescent="0.25">
      <c r="A17" t="s">
        <v>307</v>
      </c>
      <c r="B17">
        <v>23</v>
      </c>
      <c r="C17" t="s">
        <v>308</v>
      </c>
      <c r="D17">
        <v>110</v>
      </c>
      <c r="E17" t="s">
        <v>311</v>
      </c>
      <c r="F17">
        <v>7.0148822446137954E-3</v>
      </c>
      <c r="G17" s="16">
        <v>5.3792670829199973E-3</v>
      </c>
      <c r="H17">
        <v>0.28736387918635709</v>
      </c>
      <c r="I17">
        <v>0.22035784290290195</v>
      </c>
    </row>
    <row r="18" spans="1:9" x14ac:dyDescent="0.25">
      <c r="A18" t="s">
        <v>307</v>
      </c>
      <c r="B18">
        <v>23</v>
      </c>
      <c r="C18" t="s">
        <v>308</v>
      </c>
      <c r="D18">
        <v>107</v>
      </c>
      <c r="E18" t="s">
        <v>312</v>
      </c>
      <c r="F18">
        <v>8.1689149735742848E-3</v>
      </c>
      <c r="G18">
        <v>8.1679990663476691E-3</v>
      </c>
      <c r="H18">
        <v>0.33463870293079495</v>
      </c>
      <c r="I18">
        <v>0.33459626141416071</v>
      </c>
    </row>
    <row r="19" spans="1:9" x14ac:dyDescent="0.25">
      <c r="A19" t="s">
        <v>307</v>
      </c>
      <c r="B19">
        <v>23</v>
      </c>
      <c r="C19" t="s">
        <v>308</v>
      </c>
      <c r="D19">
        <v>106</v>
      </c>
      <c r="E19" t="s">
        <v>313</v>
      </c>
      <c r="F19">
        <v>1.7196328846700904E-2</v>
      </c>
      <c r="G19">
        <v>1.7195250043764952E-2</v>
      </c>
      <c r="H19">
        <v>0.70444571880682882</v>
      </c>
      <c r="I19">
        <v>0.70439116508103461</v>
      </c>
    </row>
    <row r="20" spans="1:9" x14ac:dyDescent="0.25">
      <c r="A20" t="s">
        <v>307</v>
      </c>
      <c r="B20">
        <v>23</v>
      </c>
      <c r="C20" t="s">
        <v>308</v>
      </c>
      <c r="D20">
        <v>100</v>
      </c>
      <c r="E20" t="s">
        <v>314</v>
      </c>
      <c r="F20">
        <v>7.9018879789193152E-3</v>
      </c>
      <c r="G20">
        <v>6.0632695337573669E-3</v>
      </c>
      <c r="H20">
        <v>0.32369997148017871</v>
      </c>
      <c r="I20">
        <v>0.24837751589616103</v>
      </c>
    </row>
    <row r="21" spans="1:9" x14ac:dyDescent="0.25">
      <c r="A21" t="s">
        <v>307</v>
      </c>
      <c r="B21">
        <v>23</v>
      </c>
      <c r="C21" t="s">
        <v>308</v>
      </c>
      <c r="D21">
        <v>87</v>
      </c>
      <c r="E21" t="s">
        <v>315</v>
      </c>
      <c r="F21">
        <v>5.9909942956386339E-2</v>
      </c>
      <c r="G21" s="16">
        <v>3.6432281029351699E-2</v>
      </c>
      <c r="H21">
        <v>2.4542042203202192</v>
      </c>
      <c r="I21">
        <v>1.4924224315150356</v>
      </c>
    </row>
    <row r="22" spans="1:9" x14ac:dyDescent="0.25">
      <c r="A22" t="s">
        <v>307</v>
      </c>
      <c r="B22">
        <v>23</v>
      </c>
      <c r="C22" t="s">
        <v>308</v>
      </c>
      <c r="D22">
        <v>31</v>
      </c>
      <c r="E22" t="s">
        <v>316</v>
      </c>
      <c r="F22">
        <v>2.4337410728990433E-3</v>
      </c>
      <c r="G22" s="16">
        <v>2.2429538425628756E-3</v>
      </c>
      <c r="H22">
        <v>9.9697935226272585E-2</v>
      </c>
      <c r="I22">
        <v>9.1881005880384378E-2</v>
      </c>
    </row>
    <row r="23" spans="1:9" x14ac:dyDescent="0.25">
      <c r="A23" t="s">
        <v>307</v>
      </c>
      <c r="B23">
        <v>23</v>
      </c>
      <c r="C23" t="s">
        <v>308</v>
      </c>
      <c r="D23">
        <v>3</v>
      </c>
      <c r="E23" t="s">
        <v>317</v>
      </c>
      <c r="F23">
        <v>0.31439565210881704</v>
      </c>
      <c r="G23" s="16">
        <v>0.19581096457956468</v>
      </c>
      <c r="H23">
        <v>12.87918329045138</v>
      </c>
      <c r="I23">
        <v>8.0212566333604247</v>
      </c>
    </row>
    <row r="24" spans="1:9" ht="14.4" x14ac:dyDescent="0.3">
      <c r="A24" s="15" t="s">
        <v>318</v>
      </c>
    </row>
    <row r="25" spans="1:9" ht="39.6" x14ac:dyDescent="0.25">
      <c r="A25" t="s">
        <v>298</v>
      </c>
      <c r="B25" t="s">
        <v>299</v>
      </c>
      <c r="C25" t="s">
        <v>300</v>
      </c>
      <c r="D25" t="s">
        <v>301</v>
      </c>
      <c r="E25" t="s">
        <v>302</v>
      </c>
      <c r="F25" s="17" t="s">
        <v>303</v>
      </c>
      <c r="G25" s="17" t="s">
        <v>304</v>
      </c>
      <c r="H25" s="17" t="s">
        <v>305</v>
      </c>
      <c r="I25" s="17" t="s">
        <v>306</v>
      </c>
    </row>
    <row r="26" spans="1:9" x14ac:dyDescent="0.25">
      <c r="A26" t="s">
        <v>319</v>
      </c>
      <c r="B26">
        <v>23</v>
      </c>
      <c r="C26" t="s">
        <v>308</v>
      </c>
      <c r="D26">
        <v>117</v>
      </c>
      <c r="E26" t="s">
        <v>309</v>
      </c>
      <c r="F26">
        <v>3.3301485860361079E-3</v>
      </c>
      <c r="G26" s="16">
        <v>3.3234373657042029E-3</v>
      </c>
      <c r="H26">
        <v>0.15246694284397608</v>
      </c>
      <c r="I26">
        <v>0.15216342592592594</v>
      </c>
    </row>
    <row r="27" spans="1:9" x14ac:dyDescent="0.25">
      <c r="A27" t="s">
        <v>319</v>
      </c>
      <c r="B27">
        <v>23</v>
      </c>
      <c r="C27" t="s">
        <v>308</v>
      </c>
      <c r="D27">
        <v>116</v>
      </c>
      <c r="E27" t="s">
        <v>310</v>
      </c>
      <c r="F27">
        <v>9.8500292911540711E-3</v>
      </c>
      <c r="G27" s="16">
        <v>9.8254723420175844E-3</v>
      </c>
      <c r="H27">
        <v>0.45097202546553106</v>
      </c>
      <c r="I27">
        <v>0.44985879629629627</v>
      </c>
    </row>
    <row r="28" spans="1:9" x14ac:dyDescent="0.25">
      <c r="A28" t="s">
        <v>319</v>
      </c>
      <c r="B28">
        <v>23</v>
      </c>
      <c r="C28" t="s">
        <v>308</v>
      </c>
      <c r="D28">
        <v>110</v>
      </c>
      <c r="E28" t="s">
        <v>311</v>
      </c>
      <c r="F28">
        <v>0.19145017840975662</v>
      </c>
      <c r="G28" s="16">
        <v>0.12445207314791876</v>
      </c>
      <c r="H28">
        <v>8.7653216230252884</v>
      </c>
      <c r="I28">
        <v>5.6980324074074078</v>
      </c>
    </row>
    <row r="29" spans="1:9" x14ac:dyDescent="0.25">
      <c r="A29" t="s">
        <v>319</v>
      </c>
      <c r="B29">
        <v>23</v>
      </c>
      <c r="C29" t="s">
        <v>308</v>
      </c>
      <c r="D29">
        <v>107</v>
      </c>
      <c r="E29" t="s">
        <v>312</v>
      </c>
      <c r="F29">
        <v>2.2201097086861587E-2</v>
      </c>
      <c r="G29">
        <v>2.2156367074336041E-2</v>
      </c>
      <c r="H29">
        <v>1.016451162212312</v>
      </c>
      <c r="I29">
        <v>1.0144282407407408</v>
      </c>
    </row>
    <row r="30" spans="1:9" x14ac:dyDescent="0.25">
      <c r="A30" t="s">
        <v>319</v>
      </c>
      <c r="B30">
        <v>23</v>
      </c>
      <c r="C30" t="s">
        <v>308</v>
      </c>
      <c r="D30">
        <v>106</v>
      </c>
      <c r="E30" t="s">
        <v>313</v>
      </c>
      <c r="F30">
        <v>7.8800127815945045E-2</v>
      </c>
      <c r="G30">
        <v>7.8604183203482461E-2</v>
      </c>
      <c r="H30">
        <v>3.607771327138444</v>
      </c>
      <c r="I30">
        <v>3.5988888888888888</v>
      </c>
    </row>
    <row r="31" spans="1:9" x14ac:dyDescent="0.25">
      <c r="A31" t="s">
        <v>319</v>
      </c>
      <c r="B31">
        <v>23</v>
      </c>
      <c r="C31" t="s">
        <v>308</v>
      </c>
      <c r="D31">
        <v>100</v>
      </c>
      <c r="E31" t="s">
        <v>314</v>
      </c>
      <c r="F31">
        <v>0.20822495606326888</v>
      </c>
      <c r="G31">
        <v>0.13536915228701002</v>
      </c>
      <c r="H31">
        <v>9.5333351214147957</v>
      </c>
      <c r="I31">
        <v>6.1978703703703708</v>
      </c>
    </row>
    <row r="32" spans="1:9" x14ac:dyDescent="0.25">
      <c r="A32" t="s">
        <v>319</v>
      </c>
      <c r="B32">
        <v>23</v>
      </c>
      <c r="C32" t="s">
        <v>308</v>
      </c>
      <c r="D32">
        <v>87</v>
      </c>
      <c r="E32" t="s">
        <v>315</v>
      </c>
      <c r="F32">
        <v>0.29181711668530647</v>
      </c>
      <c r="G32" s="16">
        <v>0.1926184710123312</v>
      </c>
      <c r="H32">
        <v>13.360504043908779</v>
      </c>
      <c r="I32">
        <v>8.8190277777777784</v>
      </c>
    </row>
    <row r="33" spans="1:9" x14ac:dyDescent="0.25">
      <c r="A33" t="s">
        <v>319</v>
      </c>
      <c r="B33">
        <v>23</v>
      </c>
      <c r="C33" t="s">
        <v>308</v>
      </c>
      <c r="D33">
        <v>31</v>
      </c>
      <c r="E33" t="s">
        <v>316</v>
      </c>
      <c r="F33">
        <v>1.1755285721893806E-2</v>
      </c>
      <c r="G33" s="16">
        <v>1.13555217375917E-2</v>
      </c>
      <c r="H33">
        <v>0.53820195404793192</v>
      </c>
      <c r="I33">
        <v>0.51991203703703703</v>
      </c>
    </row>
    <row r="34" spans="1:9" x14ac:dyDescent="0.25">
      <c r="A34" t="s">
        <v>319</v>
      </c>
      <c r="B34">
        <v>23</v>
      </c>
      <c r="C34" t="s">
        <v>308</v>
      </c>
      <c r="D34">
        <v>3</v>
      </c>
      <c r="E34" t="s">
        <v>317</v>
      </c>
      <c r="F34">
        <v>5.130958087021356</v>
      </c>
      <c r="G34" s="16">
        <v>3.5876303775197051</v>
      </c>
      <c r="H34">
        <v>234.91489138624266</v>
      </c>
      <c r="I34">
        <v>164.25949074074074</v>
      </c>
    </row>
    <row r="35" spans="1:9" ht="14.4" x14ac:dyDescent="0.3">
      <c r="A35" s="15" t="s">
        <v>320</v>
      </c>
    </row>
    <row r="40" spans="1:9" ht="13.8" x14ac:dyDescent="0.3">
      <c r="A40" s="34" t="s">
        <v>321</v>
      </c>
    </row>
    <row r="41" spans="1:9" ht="13.8" x14ac:dyDescent="0.3">
      <c r="A41" s="35" t="s">
        <v>322</v>
      </c>
    </row>
    <row r="42" spans="1:9" ht="13.8" x14ac:dyDescent="0.3">
      <c r="A42" s="35"/>
    </row>
    <row r="43" spans="1:9" ht="13.8" x14ac:dyDescent="0.3">
      <c r="A43" s="35" t="s">
        <v>323</v>
      </c>
    </row>
    <row r="44" spans="1:9" ht="13.8" x14ac:dyDescent="0.3">
      <c r="A44" s="35" t="s">
        <v>324</v>
      </c>
    </row>
    <row r="45" spans="1:9" ht="13.8" x14ac:dyDescent="0.3">
      <c r="A45" s="35" t="s">
        <v>325</v>
      </c>
    </row>
    <row r="46" spans="1:9" ht="13.8" x14ac:dyDescent="0.3">
      <c r="A46" s="35"/>
    </row>
    <row r="47" spans="1:9" ht="13.8" x14ac:dyDescent="0.3">
      <c r="A47" s="35" t="s">
        <v>326</v>
      </c>
    </row>
    <row r="48" spans="1:9" ht="13.8" x14ac:dyDescent="0.3">
      <c r="A48" s="35" t="s">
        <v>327</v>
      </c>
    </row>
    <row r="49" spans="1:1" ht="13.8" x14ac:dyDescent="0.3">
      <c r="A49" s="35" t="s">
        <v>328</v>
      </c>
    </row>
    <row r="50" spans="1:1" x14ac:dyDescent="0.25">
      <c r="A50" s="36"/>
    </row>
    <row r="51" spans="1:1" ht="13.8" x14ac:dyDescent="0.3">
      <c r="A51" s="35" t="s">
        <v>329</v>
      </c>
    </row>
    <row r="52" spans="1:1" ht="14.4" x14ac:dyDescent="0.3">
      <c r="A52" s="33"/>
    </row>
    <row r="53" spans="1:1" ht="13.8" x14ac:dyDescent="0.3">
      <c r="A53" s="34" t="s">
        <v>330</v>
      </c>
    </row>
    <row r="54" spans="1:1" ht="13.8" x14ac:dyDescent="0.3">
      <c r="A54" s="35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Benefit Cost Ratio</vt:lpstr>
      <vt:lpstr>Capital Costs</vt:lpstr>
      <vt:lpstr>M and O</vt:lpstr>
      <vt:lpstr>Travel Time Savings</vt:lpstr>
      <vt:lpstr>Safety</vt:lpstr>
      <vt:lpstr>Emissions</vt:lpstr>
      <vt:lpstr>Operating Costs</vt:lpstr>
      <vt:lpstr>Unit Costs</vt:lpstr>
      <vt:lpstr>Emissions Rates</vt:lpstr>
      <vt:lpstr>misc</vt:lpstr>
      <vt:lpstr>'Capital Costs'!Print_Area</vt:lpstr>
      <vt:lpstr>'Travel Time Savings'!Print_Area</vt:lpstr>
    </vt:vector>
  </TitlesOfParts>
  <Manager/>
  <Company>Maine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State of Maine</dc:creator>
  <cp:keywords/>
  <dc:description/>
  <cp:lastModifiedBy>Baugh, Benny J</cp:lastModifiedBy>
  <cp:revision/>
  <dcterms:created xsi:type="dcterms:W3CDTF">2011-09-16T18:46:14Z</dcterms:created>
  <dcterms:modified xsi:type="dcterms:W3CDTF">2024-08-22T14:43:14Z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